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VGCD FILES Current\Board Packet\Board Packet 2024\Board Packet 11-14-24\"/>
    </mc:Choice>
  </mc:AlternateContent>
  <xr:revisionPtr revIDLastSave="0" documentId="8_{04C33ACA-386C-4BB1-93BD-F74D1E3EF86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Current Assets" sheetId="3" r:id="rId1"/>
    <sheet name="FY2024 Fee Schedule" sheetId="7" r:id="rId2"/>
    <sheet name="Est. FY2025 Revenue" sheetId="4" r:id="rId3"/>
    <sheet name="Expenses Comparison 2021-2024" sheetId="1" r:id="rId4"/>
    <sheet name="Fee Increase Projections" sheetId="2" state="hidden" r:id="rId5"/>
  </sheets>
  <calcPr calcId="181029"/>
</workbook>
</file>

<file path=xl/calcChain.xml><?xml version="1.0" encoding="utf-8"?>
<calcChain xmlns="http://schemas.openxmlformats.org/spreadsheetml/2006/main">
  <c r="P57" i="1" l="1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6" i="4"/>
  <c r="P39" i="1"/>
  <c r="P37" i="1"/>
  <c r="P58" i="1"/>
  <c r="J43" i="1"/>
  <c r="K43" i="1"/>
  <c r="L43" i="1"/>
  <c r="M43" i="1"/>
  <c r="N43" i="1"/>
  <c r="O43" i="1"/>
  <c r="I43" i="1"/>
  <c r="P42" i="1"/>
  <c r="O14" i="1"/>
  <c r="O26" i="1" l="1"/>
  <c r="N26" i="1" l="1"/>
  <c r="M26" i="1"/>
  <c r="L26" i="1"/>
  <c r="P24" i="1"/>
  <c r="K26" i="1"/>
  <c r="J26" i="1"/>
  <c r="I26" i="1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6" i="4"/>
  <c r="D21" i="4"/>
  <c r="H21" i="4" l="1"/>
  <c r="H23" i="4" s="1"/>
  <c r="H26" i="4" s="1"/>
  <c r="H31" i="4" s="1"/>
  <c r="G21" i="4"/>
  <c r="F21" i="4"/>
  <c r="C23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6" i="4"/>
  <c r="J68" i="1"/>
  <c r="P59" i="1"/>
  <c r="P41" i="1"/>
  <c r="F6" i="4"/>
  <c r="P8" i="1"/>
  <c r="P9" i="1"/>
  <c r="P10" i="1"/>
  <c r="P11" i="1"/>
  <c r="P12" i="1"/>
  <c r="P17" i="1"/>
  <c r="P19" i="1"/>
  <c r="P20" i="1"/>
  <c r="P21" i="1"/>
  <c r="P23" i="1"/>
  <c r="P25" i="1"/>
  <c r="P29" i="1"/>
  <c r="P30" i="1"/>
  <c r="P31" i="1"/>
  <c r="P32" i="1"/>
  <c r="P33" i="1"/>
  <c r="P34" i="1"/>
  <c r="P35" i="1"/>
  <c r="P36" i="1"/>
  <c r="P38" i="1"/>
  <c r="P40" i="1"/>
  <c r="P46" i="1"/>
  <c r="P47" i="1"/>
  <c r="P48" i="1"/>
  <c r="P49" i="1"/>
  <c r="P50" i="1"/>
  <c r="P51" i="1"/>
  <c r="P52" i="1"/>
  <c r="P53" i="1"/>
  <c r="P60" i="1"/>
  <c r="P61" i="1"/>
  <c r="P63" i="1"/>
  <c r="P64" i="1"/>
  <c r="P65" i="1"/>
  <c r="P67" i="1"/>
  <c r="P69" i="1"/>
  <c r="P7" i="1"/>
  <c r="M68" i="1"/>
  <c r="N68" i="1"/>
  <c r="M62" i="1"/>
  <c r="N62" i="1"/>
  <c r="N54" i="1"/>
  <c r="N14" i="1"/>
  <c r="M54" i="1"/>
  <c r="M14" i="1"/>
  <c r="L68" i="1"/>
  <c r="L62" i="1"/>
  <c r="L54" i="1"/>
  <c r="L14" i="1"/>
  <c r="D23" i="4" l="1"/>
  <c r="G23" i="4"/>
  <c r="G26" i="4" s="1"/>
  <c r="G31" i="4" s="1"/>
  <c r="F23" i="4"/>
  <c r="F26" i="4" s="1"/>
  <c r="F31" i="4" s="1"/>
  <c r="L70" i="1"/>
  <c r="N70" i="1"/>
  <c r="M70" i="1"/>
  <c r="J62" i="1"/>
  <c r="J54" i="1"/>
  <c r="J14" i="1"/>
  <c r="J70" i="1" l="1"/>
  <c r="C15" i="3"/>
  <c r="P43" i="1" l="1"/>
  <c r="I14" i="1" l="1"/>
  <c r="I62" i="1"/>
  <c r="K54" i="1"/>
  <c r="I54" i="1"/>
  <c r="I68" i="1"/>
  <c r="I70" i="1" l="1"/>
  <c r="B23" i="4" l="1"/>
  <c r="D26" i="4" l="1"/>
  <c r="D31" i="4" s="1"/>
  <c r="K68" i="1"/>
  <c r="K62" i="1"/>
  <c r="K14" i="1"/>
  <c r="O54" i="1"/>
  <c r="P54" i="1" s="1"/>
  <c r="K70" i="1" l="1"/>
  <c r="B138" i="2" l="1"/>
  <c r="E138" i="2" s="1"/>
  <c r="B137" i="2"/>
  <c r="E137" i="2" s="1"/>
  <c r="B136" i="2"/>
  <c r="E136" i="2" s="1"/>
  <c r="B135" i="2"/>
  <c r="E135" i="2" s="1"/>
  <c r="B134" i="2"/>
  <c r="E134" i="2" s="1"/>
  <c r="B133" i="2"/>
  <c r="E133" i="2" s="1"/>
  <c r="B132" i="2"/>
  <c r="E132" i="2" s="1"/>
  <c r="B131" i="2"/>
  <c r="E131" i="2" s="1"/>
  <c r="B130" i="2"/>
  <c r="E130" i="2" s="1"/>
  <c r="B129" i="2"/>
  <c r="E129" i="2" s="1"/>
  <c r="B128" i="2"/>
  <c r="E128" i="2" s="1"/>
  <c r="B127" i="2"/>
  <c r="E127" i="2" s="1"/>
  <c r="B126" i="2"/>
  <c r="E126" i="2" s="1"/>
  <c r="B125" i="2"/>
  <c r="E125" i="2" s="1"/>
  <c r="B124" i="2"/>
  <c r="E124" i="2" s="1"/>
  <c r="B123" i="2"/>
  <c r="E123" i="2" s="1"/>
  <c r="B122" i="2"/>
  <c r="E122" i="2" s="1"/>
  <c r="B121" i="2"/>
  <c r="E121" i="2" s="1"/>
  <c r="B120" i="2"/>
  <c r="E120" i="2" s="1"/>
  <c r="B119" i="2"/>
  <c r="E119" i="2" s="1"/>
  <c r="B118" i="2"/>
  <c r="E118" i="2" s="1"/>
  <c r="B117" i="2"/>
  <c r="E117" i="2" s="1"/>
  <c r="B116" i="2"/>
  <c r="E116" i="2" s="1"/>
  <c r="B115" i="2"/>
  <c r="E115" i="2" s="1"/>
  <c r="B114" i="2"/>
  <c r="E114" i="2" s="1"/>
  <c r="B113" i="2"/>
  <c r="E113" i="2" s="1"/>
  <c r="B112" i="2"/>
  <c r="E112" i="2" s="1"/>
  <c r="B111" i="2"/>
  <c r="E111" i="2" s="1"/>
  <c r="B110" i="2"/>
  <c r="E110" i="2" s="1"/>
  <c r="B109" i="2"/>
  <c r="E109" i="2" s="1"/>
  <c r="B108" i="2"/>
  <c r="E108" i="2" s="1"/>
  <c r="B107" i="2"/>
  <c r="E107" i="2" s="1"/>
  <c r="C106" i="2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B106" i="2"/>
  <c r="E106" i="2" s="1"/>
  <c r="B90" i="2"/>
  <c r="C90" i="2" s="1"/>
  <c r="B89" i="2"/>
  <c r="B88" i="2"/>
  <c r="C88" i="2" s="1"/>
  <c r="B87" i="2"/>
  <c r="B86" i="2"/>
  <c r="C86" i="2" s="1"/>
  <c r="B85" i="2"/>
  <c r="B84" i="2"/>
  <c r="C84" i="2" s="1"/>
  <c r="B83" i="2"/>
  <c r="B82" i="2"/>
  <c r="C82" i="2" s="1"/>
  <c r="B81" i="2"/>
  <c r="B80" i="2"/>
  <c r="C80" i="2" s="1"/>
  <c r="B79" i="2"/>
  <c r="B78" i="2"/>
  <c r="C78" i="2" s="1"/>
  <c r="B77" i="2"/>
  <c r="B76" i="2"/>
  <c r="C76" i="2" s="1"/>
  <c r="B75" i="2"/>
  <c r="B74" i="2"/>
  <c r="C74" i="2" s="1"/>
  <c r="B73" i="2"/>
  <c r="B72" i="2"/>
  <c r="C72" i="2" s="1"/>
  <c r="B71" i="2"/>
  <c r="B70" i="2"/>
  <c r="C70" i="2" s="1"/>
  <c r="B69" i="2"/>
  <c r="B68" i="2"/>
  <c r="C68" i="2" s="1"/>
  <c r="B67" i="2"/>
  <c r="B66" i="2"/>
  <c r="C66" i="2" s="1"/>
  <c r="B65" i="2"/>
  <c r="B64" i="2"/>
  <c r="C64" i="2" s="1"/>
  <c r="B63" i="2"/>
  <c r="B62" i="2"/>
  <c r="C62" i="2" s="1"/>
  <c r="B61" i="2"/>
  <c r="B60" i="2"/>
  <c r="C60" i="2" s="1"/>
  <c r="B44" i="2"/>
  <c r="B43" i="2"/>
  <c r="C43" i="2" s="1"/>
  <c r="B42" i="2"/>
  <c r="B41" i="2"/>
  <c r="C41" i="2" s="1"/>
  <c r="B40" i="2"/>
  <c r="B39" i="2"/>
  <c r="C39" i="2" s="1"/>
  <c r="B38" i="2"/>
  <c r="B37" i="2"/>
  <c r="C37" i="2" s="1"/>
  <c r="B36" i="2"/>
  <c r="B35" i="2"/>
  <c r="C35" i="2" s="1"/>
  <c r="B34" i="2"/>
  <c r="B33" i="2"/>
  <c r="C33" i="2" s="1"/>
  <c r="B32" i="2"/>
  <c r="B31" i="2"/>
  <c r="C31" i="2" s="1"/>
  <c r="B30" i="2"/>
  <c r="B29" i="2"/>
  <c r="C29" i="2" s="1"/>
  <c r="B28" i="2"/>
  <c r="E28" i="2" s="1"/>
  <c r="B27" i="2"/>
  <c r="C27" i="2" s="1"/>
  <c r="B26" i="2"/>
  <c r="E26" i="2" s="1"/>
  <c r="B25" i="2"/>
  <c r="C25" i="2" s="1"/>
  <c r="B24" i="2"/>
  <c r="E24" i="2" s="1"/>
  <c r="B23" i="2"/>
  <c r="C23" i="2" s="1"/>
  <c r="B22" i="2"/>
  <c r="E22" i="2" s="1"/>
  <c r="B21" i="2"/>
  <c r="C21" i="2" s="1"/>
  <c r="B20" i="2"/>
  <c r="E20" i="2" s="1"/>
  <c r="B19" i="2"/>
  <c r="C19" i="2" s="1"/>
  <c r="B18" i="2"/>
  <c r="E18" i="2" s="1"/>
  <c r="B6" i="2"/>
  <c r="B5" i="2"/>
  <c r="B4" i="2"/>
  <c r="B3" i="2"/>
  <c r="E39" i="2" l="1"/>
  <c r="E35" i="2"/>
  <c r="E78" i="2"/>
  <c r="E74" i="2"/>
  <c r="E31" i="2"/>
  <c r="E70" i="2"/>
  <c r="E84" i="2"/>
  <c r="E88" i="2"/>
  <c r="E66" i="2"/>
  <c r="E62" i="2"/>
  <c r="E43" i="2"/>
  <c r="E82" i="2"/>
  <c r="E86" i="2"/>
  <c r="E90" i="2"/>
  <c r="E19" i="2"/>
  <c r="C22" i="2"/>
  <c r="E25" i="2"/>
  <c r="E32" i="2"/>
  <c r="C32" i="2"/>
  <c r="E40" i="2"/>
  <c r="C40" i="2"/>
  <c r="E63" i="2"/>
  <c r="C63" i="2"/>
  <c r="E67" i="2"/>
  <c r="C67" i="2"/>
  <c r="E71" i="2"/>
  <c r="C71" i="2"/>
  <c r="E79" i="2"/>
  <c r="C79" i="2"/>
  <c r="E83" i="2"/>
  <c r="C83" i="2"/>
  <c r="E87" i="2"/>
  <c r="C87" i="2"/>
  <c r="C20" i="2"/>
  <c r="E23" i="2"/>
  <c r="C26" i="2"/>
  <c r="E29" i="2"/>
  <c r="E33" i="2"/>
  <c r="E37" i="2"/>
  <c r="E41" i="2"/>
  <c r="E60" i="2"/>
  <c r="E64" i="2"/>
  <c r="E68" i="2"/>
  <c r="E72" i="2"/>
  <c r="E76" i="2"/>
  <c r="E80" i="2"/>
  <c r="E30" i="2"/>
  <c r="C30" i="2"/>
  <c r="E34" i="2"/>
  <c r="C34" i="2"/>
  <c r="E38" i="2"/>
  <c r="C38" i="2"/>
  <c r="E42" i="2"/>
  <c r="C42" i="2"/>
  <c r="E61" i="2"/>
  <c r="C61" i="2"/>
  <c r="E65" i="2"/>
  <c r="C65" i="2"/>
  <c r="E69" i="2"/>
  <c r="C69" i="2"/>
  <c r="E73" i="2"/>
  <c r="C73" i="2"/>
  <c r="E77" i="2"/>
  <c r="C77" i="2"/>
  <c r="E81" i="2"/>
  <c r="C81" i="2"/>
  <c r="E85" i="2"/>
  <c r="C85" i="2"/>
  <c r="E89" i="2"/>
  <c r="C89" i="2"/>
  <c r="C18" i="2"/>
  <c r="E21" i="2"/>
  <c r="C24" i="2"/>
  <c r="E27" i="2"/>
  <c r="C28" i="2"/>
  <c r="E36" i="2"/>
  <c r="C36" i="2"/>
  <c r="E44" i="2"/>
  <c r="C44" i="2"/>
  <c r="E75" i="2"/>
  <c r="C75" i="2"/>
  <c r="O62" i="1" l="1"/>
  <c r="P26" i="1"/>
  <c r="P14" i="1"/>
  <c r="P62" i="1" l="1"/>
  <c r="P66" i="1" l="1"/>
  <c r="O68" i="1"/>
  <c r="C9" i="3"/>
  <c r="C17" i="3" s="1"/>
  <c r="P68" i="1" l="1"/>
  <c r="O70" i="1"/>
  <c r="P70" i="1" s="1"/>
  <c r="AD45" i="2"/>
  <c r="D43" i="1" l="1"/>
  <c r="E43" i="1"/>
  <c r="F43" i="1"/>
  <c r="G43" i="1"/>
  <c r="H43" i="1"/>
  <c r="C43" i="1"/>
  <c r="E54" i="1"/>
  <c r="F54" i="1"/>
  <c r="G54" i="1"/>
  <c r="H54" i="1"/>
  <c r="D54" i="1"/>
  <c r="D68" i="1" l="1"/>
  <c r="E68" i="1"/>
  <c r="F68" i="1"/>
  <c r="G68" i="1"/>
  <c r="H68" i="1"/>
  <c r="C68" i="1"/>
  <c r="D62" i="1"/>
  <c r="E62" i="1"/>
  <c r="F62" i="1"/>
  <c r="G62" i="1"/>
  <c r="H62" i="1"/>
  <c r="C62" i="1"/>
  <c r="D26" i="1" l="1"/>
  <c r="E26" i="1"/>
  <c r="F26" i="1"/>
  <c r="G26" i="1"/>
  <c r="H26" i="1"/>
  <c r="C26" i="1"/>
  <c r="D14" i="1"/>
  <c r="E14" i="1"/>
  <c r="F14" i="1"/>
  <c r="G14" i="1"/>
  <c r="H14" i="1"/>
  <c r="C14" i="1"/>
  <c r="B14" i="1" l="1"/>
  <c r="B26" i="1"/>
  <c r="B43" i="1"/>
  <c r="B54" i="1"/>
  <c r="B62" i="1"/>
  <c r="B68" i="1"/>
  <c r="B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aday</author>
  </authors>
  <commentList>
    <comment ref="F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Began advertisement of the BVWaterSmart website on KBTX. Ran March 15th to September 15th.</t>
        </r>
      </text>
    </comment>
    <comment ref="G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Began running year round conservation tip vignettes.</t>
        </r>
      </text>
    </comment>
    <comment ref="H1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SOAH hearing expenses; 82nd District Court expenses</t>
        </r>
      </text>
    </comment>
    <comment ref="G19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GMA 12 DFC modeling expenses; District specific Leap Frog 3-D model created</t>
        </r>
      </text>
    </comment>
    <comment ref="H19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Modeling of Fazzino application aquifer impact/affidavit</t>
        </r>
      </text>
    </comment>
    <comment ref="E47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Grant money for purchase of hardware/software for the BVWaterSmart network</t>
        </r>
      </text>
    </comment>
    <comment ref="G57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Megan on payroll for only 6 months. Only two employees for first 6 months.</t>
        </r>
      </text>
    </comment>
    <comment ref="H5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Higher due to cash out payment of vacation time in December, 2017. Payment should have been done in January, 2018</t>
        </r>
      </text>
    </comment>
    <comment ref="F66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The original estimated payment was miscalculated in 2013. The underpayment for years 2013/2014 was made in 2015.</t>
        </r>
      </text>
    </comment>
    <comment ref="C74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aday:
Drought of 2011 water use reflected in 2012 income</t>
        </r>
      </text>
    </comment>
    <comment ref="E74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Oil/gas activity accounted for approximately $75,000 of this amount</t>
        </r>
      </text>
    </comment>
    <comment ref="F74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Some oil/gas activity early in 2015 influences this number</t>
        </r>
      </text>
    </comment>
  </commentList>
</comments>
</file>

<file path=xl/sharedStrings.xml><?xml version="1.0" encoding="utf-8"?>
<sst xmlns="http://schemas.openxmlformats.org/spreadsheetml/2006/main" count="218" uniqueCount="189">
  <si>
    <t>Brazos Valley Groundwater Conservation District</t>
  </si>
  <si>
    <t>Supplies</t>
  </si>
  <si>
    <t>Postage</t>
  </si>
  <si>
    <t>Public Education</t>
  </si>
  <si>
    <t>Miscellaneous</t>
  </si>
  <si>
    <t>Subtotal</t>
  </si>
  <si>
    <t>Professional Services</t>
  </si>
  <si>
    <t>Other Services</t>
  </si>
  <si>
    <t>Bonds/Liability Insurance</t>
  </si>
  <si>
    <t>Memberships</t>
  </si>
  <si>
    <t>Travel/Training</t>
  </si>
  <si>
    <t>Utilities</t>
  </si>
  <si>
    <t>Telephone/ISP/Web Hosting</t>
  </si>
  <si>
    <t>Advertising/Meetings</t>
  </si>
  <si>
    <t>Salaries</t>
  </si>
  <si>
    <t>Salaries (Gross)</t>
  </si>
  <si>
    <t>Medicare/SS</t>
  </si>
  <si>
    <t>Benefits</t>
  </si>
  <si>
    <t>Health Insurance</t>
  </si>
  <si>
    <t>Retirement</t>
  </si>
  <si>
    <t>Totals</t>
  </si>
  <si>
    <t>Water Well Plugging</t>
  </si>
  <si>
    <t>ArcGIS Program/hosting</t>
  </si>
  <si>
    <t>Office Supplies/Services</t>
  </si>
  <si>
    <t xml:space="preserve">Miscellaneous </t>
  </si>
  <si>
    <t>Field Services</t>
  </si>
  <si>
    <t>Used through</t>
  </si>
  <si>
    <t>August, 2017</t>
  </si>
  <si>
    <t>Information/Technology</t>
  </si>
  <si>
    <t>Actual</t>
  </si>
  <si>
    <t>Municipal, Industrial, RPWS</t>
  </si>
  <si>
    <t>Metered Agriculture</t>
  </si>
  <si>
    <t>Steam Electric</t>
  </si>
  <si>
    <t>Municipal, RPWS, and Industrial (MRWI) rates were initially set at $0.0365/1000 gallons produced</t>
  </si>
  <si>
    <t>% Increase</t>
  </si>
  <si>
    <t>Revenue Generated</t>
  </si>
  <si>
    <t>Rate</t>
  </si>
  <si>
    <t>Agricultural fee rate was initially set a $0.25/ac-ft on all metered production</t>
  </si>
  <si>
    <t>Permit Annual Agriculture</t>
  </si>
  <si>
    <t>Fee rate reduced in 2010 to $0.125/ac-ft. Included all non-metered BRA wells charged at full permitted amount</t>
  </si>
  <si>
    <t>Acre Feet</t>
  </si>
  <si>
    <t>Revenue</t>
  </si>
  <si>
    <t>Fee rates may be increased above the initial cap at a maximum rate of 3%/year cummulative</t>
  </si>
  <si>
    <t>TOTALS</t>
  </si>
  <si>
    <t xml:space="preserve"> </t>
  </si>
  <si>
    <t>Fee rates initially reaches maximum cap of $0.25/ac-ft for 2008 production year</t>
  </si>
  <si>
    <t>Steam Electric fee rate was initially set a $0.25/ac-ft on all metered production 12/6/2007 for 2008 production year</t>
  </si>
  <si>
    <t>.8846 of max. rate of .3325</t>
  </si>
  <si>
    <t>.8846 of max. rate of .056525</t>
  </si>
  <si>
    <t>Fees rates were increased  12/13/2018 for 2019 production year to current level of $0.04625/1000 gallons produced</t>
  </si>
  <si>
    <t>Each 1% increase using current levels of production produces $6,045.42</t>
  </si>
  <si>
    <t>Municipal, RPWS, Industrial cap = $0.0578/1000 gallons</t>
  </si>
  <si>
    <t>Fees rates were increased 12/6/07 for 2008 production year to $0.0425/1000 gallons produced</t>
  </si>
  <si>
    <t>Revenue Increase</t>
  </si>
  <si>
    <t>2020 Capped rate</t>
  </si>
  <si>
    <t>Muncipal/RPWS/Industrial rates can be raised 25% above current rate before reaching the current cap of $0.0578/1000</t>
  </si>
  <si>
    <t>Fees rates were increased  12/13/2018 on all agricultural permits for 2019 production year to current level of $0.1875/ac-ft produced</t>
  </si>
  <si>
    <t>Fee rates may increase above the initial cap at a maximum rate of 3%/year cummulative (2009-2020 = 12 years x 3% = 36%)</t>
  </si>
  <si>
    <t>Each 1% increase using current levels of metered production and annual permit production produces $201.79</t>
  </si>
  <si>
    <t>Agricultural cap = $0.34/ac-ft</t>
  </si>
  <si>
    <t>Ag rates can be raised 81% above current rate before  reaching the current cap of $0.34/ac-ft</t>
  </si>
  <si>
    <t>Fees rates were increased  12/13/2018 for 2019 production year to current level of $0.2931/ac-ft produced</t>
  </si>
  <si>
    <t>Each 1% increase using current levels of metered production produces $14.27</t>
  </si>
  <si>
    <t>Steam Electric cap = $0.34/ac-ft</t>
  </si>
  <si>
    <t>Steam Electric rates can be raised 16% above current rate before  reaching the current cap of $0.34/ac-ft</t>
  </si>
  <si>
    <r>
      <t xml:space="preserve">Revenue Generated </t>
    </r>
    <r>
      <rPr>
        <sz val="11"/>
        <rFont val="Calibri"/>
        <family val="2"/>
        <scheme val="minor"/>
      </rPr>
      <t>(All Ag Prod.)</t>
    </r>
  </si>
  <si>
    <t xml:space="preserve">Current Rate </t>
  </si>
  <si>
    <t>Projected  Expenses</t>
  </si>
  <si>
    <t>FY 2021</t>
  </si>
  <si>
    <t>Grant Program/Other Expenses</t>
  </si>
  <si>
    <t>UAAL (Unfunded Act. Accrued Liability)</t>
  </si>
  <si>
    <t>Annual Audit</t>
  </si>
  <si>
    <t>BVWaterSmart Network</t>
  </si>
  <si>
    <t>Building Maintenance</t>
  </si>
  <si>
    <t>Depreciation</t>
  </si>
  <si>
    <t>FY 2022</t>
  </si>
  <si>
    <t>Permit Holder</t>
  </si>
  <si>
    <t>Production (gallons)</t>
  </si>
  <si>
    <t>City of Bryan</t>
  </si>
  <si>
    <t>City of College Station</t>
  </si>
  <si>
    <t>Texas A&amp;M University</t>
  </si>
  <si>
    <t>Wickson Creek SUD</t>
  </si>
  <si>
    <t>Wellborn SUD</t>
  </si>
  <si>
    <t>Sanderson Farms - Bryan Plant</t>
  </si>
  <si>
    <t>City of Hearne</t>
  </si>
  <si>
    <t>Miramont Country Club</t>
  </si>
  <si>
    <t>Robertson County WSC</t>
  </si>
  <si>
    <t>City of Franklin</t>
  </si>
  <si>
    <t>City of Calvert</t>
  </si>
  <si>
    <t>Tri County WSC</t>
  </si>
  <si>
    <t>Twin Creek WSC</t>
  </si>
  <si>
    <t>City of Bremond</t>
  </si>
  <si>
    <t>Major Oak Power</t>
  </si>
  <si>
    <t>1980 Phillips Group, LLC</t>
  </si>
  <si>
    <t>Above 16 Permittees</t>
  </si>
  <si>
    <t>Renewal fees</t>
  </si>
  <si>
    <t>Metered Agr. Pumping</t>
  </si>
  <si>
    <t>Total</t>
  </si>
  <si>
    <t>Staff Proposed Budget</t>
  </si>
  <si>
    <t>Supplies/UBEO/copies/Quill</t>
  </si>
  <si>
    <t>Stamps</t>
  </si>
  <si>
    <t>Petty cash for invoices/posting notices</t>
  </si>
  <si>
    <t>Milberger, Nesbitt &amp; Ask</t>
  </si>
  <si>
    <t xml:space="preserve">Jeff Skelton </t>
  </si>
  <si>
    <t>Texas Municipal League/Director bonds</t>
  </si>
  <si>
    <t>Inclusive of Board members attendance at the Texas Groundwater Summit/Law conferences/TAGD meetings</t>
  </si>
  <si>
    <t>City of Hearne/Atmos Energy</t>
  </si>
  <si>
    <t>Eagle legal notices/Zoom annual subscription &amp; recordings</t>
  </si>
  <si>
    <t>50/50 cost-share on new units</t>
  </si>
  <si>
    <t>Maintenance of website/weather equipment</t>
  </si>
  <si>
    <t>75/25 cost share</t>
  </si>
  <si>
    <t>Contribution is 8.67% of payroll</t>
  </si>
  <si>
    <t>TML (Blue Cross Blue Shield)</t>
  </si>
  <si>
    <t>SSB 3500000184</t>
  </si>
  <si>
    <t>FY 2023</t>
  </si>
  <si>
    <t>BRAA fees</t>
  </si>
  <si>
    <t>Engineering/Hydrologist - Advanced Groundwater</t>
  </si>
  <si>
    <t>Computing Services /Hardware/Website</t>
  </si>
  <si>
    <t>Year to Date Expenses</t>
  </si>
  <si>
    <t>Part-time Employee (Well Assistance)</t>
  </si>
  <si>
    <t>Part-time Employee (Office)</t>
  </si>
  <si>
    <r>
      <t xml:space="preserve">Fuel/maintenance/auto repair   </t>
    </r>
    <r>
      <rPr>
        <b/>
        <sz val="11"/>
        <color rgb="FFFF0000"/>
        <rFont val="Calibri"/>
        <family val="2"/>
        <scheme val="minor"/>
      </rPr>
      <t>****</t>
    </r>
  </si>
  <si>
    <r>
      <t xml:space="preserve">Advanced Groundwater Solutions 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****</t>
    </r>
  </si>
  <si>
    <t>PB 259000391</t>
  </si>
  <si>
    <t>DOA (PB)</t>
  </si>
  <si>
    <t>DWAF (PB)</t>
  </si>
  <si>
    <t>Approved Budget</t>
  </si>
  <si>
    <t>FY 2024</t>
  </si>
  <si>
    <t>BRAA Groundwater/Surface Water Study</t>
  </si>
  <si>
    <t>TCDRS - contribution @ 13.82%      (100% funded ratio)</t>
  </si>
  <si>
    <r>
      <t xml:space="preserve">Part-time - Data input for Well Assistance Program @ $13.50/hr    </t>
    </r>
    <r>
      <rPr>
        <b/>
        <sz val="11"/>
        <color rgb="FFFF0000"/>
        <rFont val="Calibri"/>
        <family val="2"/>
        <scheme val="minor"/>
      </rPr>
      <t>****</t>
    </r>
  </si>
  <si>
    <r>
      <t xml:space="preserve">Part-time - Assisting water level measuring/well identification @ $25.00/hr   </t>
    </r>
    <r>
      <rPr>
        <b/>
        <sz val="11"/>
        <color rgb="FFFF0000"/>
        <rFont val="Calibri"/>
        <family val="2"/>
        <scheme val="minor"/>
      </rPr>
      <t>****</t>
    </r>
  </si>
  <si>
    <t>Monique Norman (25 hours/month)</t>
  </si>
  <si>
    <t>"Brazos Valley Runs on Water" educational campaign/Major Rivers/meetings/supplies/WET Project/Field Days/CORE teachers</t>
  </si>
  <si>
    <t>Ag Irrigation Remote Control/Soil Moisture Sensors</t>
  </si>
  <si>
    <t>Halff Associates - Hosting/Support/Repairs</t>
  </si>
  <si>
    <t>Verizon/Brazos WiFi/Data for three devices</t>
  </si>
  <si>
    <t>$.005 increase</t>
  </si>
  <si>
    <t>Fish Window Cleaning/Allstar Pest Control/Raquel (monthly office cleaning)</t>
  </si>
  <si>
    <t>Agricultural</t>
  </si>
  <si>
    <t>Municipal/RPWS</t>
  </si>
  <si>
    <t>Industrial/Comm.</t>
  </si>
  <si>
    <t>Export</t>
  </si>
  <si>
    <t>Depreciation on two District trucks/office building</t>
  </si>
  <si>
    <t>SSB 3500000477</t>
  </si>
  <si>
    <t>Estimated 2024</t>
  </si>
  <si>
    <t xml:space="preserve">Est. 2025 Revenue </t>
  </si>
  <si>
    <t>FY 2024 Fee Schedule</t>
  </si>
  <si>
    <t>$0.1975/ac-ft</t>
  </si>
  <si>
    <t>$0.31/ac-ft</t>
  </si>
  <si>
    <t xml:space="preserve">$0.20/1000 gallons exported </t>
  </si>
  <si>
    <t>$0.04875/1000 gallons produced</t>
  </si>
  <si>
    <t xml:space="preserve">$0.04875/1000 gallons produced </t>
  </si>
  <si>
    <t>FY2024</t>
  </si>
  <si>
    <t>FY 2025</t>
  </si>
  <si>
    <r>
      <t>Proposed FY 2025 Budget</t>
    </r>
    <r>
      <rPr>
        <b/>
        <sz val="11"/>
        <color theme="1"/>
        <rFont val="Calibri"/>
        <family val="2"/>
      </rPr>
      <t>↑↓</t>
    </r>
  </si>
  <si>
    <t>Engineering/Hydrologist - Advanced Groundwater (Well Assistance)</t>
  </si>
  <si>
    <t>Vehicle Fuel/Maintenance (General)</t>
  </si>
  <si>
    <t>Vehicle Fuel/Maintenance (Well Assistance)</t>
  </si>
  <si>
    <t>Part-time Employee (General Field)</t>
  </si>
  <si>
    <t>Legal (General)</t>
  </si>
  <si>
    <t>Legal (SOAH/Litigation)</t>
  </si>
  <si>
    <t>CAPITAL EXPENDITURES BUDGET - FY 2025</t>
  </si>
  <si>
    <t>Renovation/Incorporation of H&amp;R Block property into existing office</t>
  </si>
  <si>
    <t>Field &amp; Educational Staff</t>
  </si>
  <si>
    <t>Estimated Revenue FY2025</t>
  </si>
  <si>
    <t>Production (ac-ft)</t>
  </si>
  <si>
    <t>Legislative Consultant</t>
  </si>
  <si>
    <r>
      <rPr>
        <sz val="11"/>
        <rFont val="Calibri"/>
        <family val="2"/>
        <scheme val="minor"/>
      </rPr>
      <t>Estimated 2025 Revenue -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$783,748.15</t>
    </r>
  </si>
  <si>
    <t>New Position</t>
  </si>
  <si>
    <t>Part-time Employee (Office Staff)</t>
  </si>
  <si>
    <t>New budget item</t>
  </si>
  <si>
    <t>New Position - 35/week @ $15.00/hr</t>
  </si>
  <si>
    <t>2 New hard drives, screen, etc./computer repair/Microsoft Office 365 Business (5 users)/ GoDaddy/Barracuda Network/Trend Micro/Adobe Acrobat DC Pro/QuickBooks Payroll/Quick Books Update</t>
  </si>
  <si>
    <t>Mitigation Manager</t>
  </si>
  <si>
    <t>Lloyd Gosselink (Mike Gershon)</t>
  </si>
  <si>
    <t>Max. Rate $0.3775/ac-ft</t>
  </si>
  <si>
    <t>Max. Rate $0.064175/1000 gallons produced</t>
  </si>
  <si>
    <r>
      <t xml:space="preserve">Max. Rate $0.206/1000 gallons transported </t>
    </r>
    <r>
      <rPr>
        <b/>
        <sz val="11"/>
        <color theme="1"/>
        <rFont val="Calibri"/>
        <family val="2"/>
        <scheme val="minor"/>
      </rPr>
      <t>(Rule 9.1)</t>
    </r>
    <r>
      <rPr>
        <sz val="11"/>
        <color theme="1"/>
        <rFont val="Calibri"/>
        <family val="2"/>
        <scheme val="minor"/>
      </rPr>
      <t xml:space="preserve">; $0.12125/1000 gallons authorized </t>
    </r>
    <r>
      <rPr>
        <b/>
        <sz val="11"/>
        <color theme="1"/>
        <rFont val="Calibri"/>
        <family val="2"/>
        <scheme val="minor"/>
      </rPr>
      <t>(Enabling Act)</t>
    </r>
  </si>
  <si>
    <t>$.0025 increase</t>
  </si>
  <si>
    <t>$0.01 increase</t>
  </si>
  <si>
    <t>SSB 3500000603</t>
  </si>
  <si>
    <t>As of October 21, 2024</t>
  </si>
  <si>
    <r>
      <rPr>
        <sz val="11"/>
        <rFont val="Calibri"/>
        <family val="2"/>
      </rPr>
      <t xml:space="preserve">Cynthia ↑6.5%, Megan ↑9%; Alan ↑6.5%; </t>
    </r>
    <r>
      <rPr>
        <sz val="11"/>
        <rFont val="Calibri"/>
        <family val="2"/>
        <scheme val="minor"/>
      </rPr>
      <t>cashed vacation time not taken by District staff ($13,763.36); Cynthia ($5,801.60); Alan ($7,961.76)</t>
    </r>
  </si>
  <si>
    <t>Line item associated with the Well Assistance Fund (Mitigation)</t>
  </si>
  <si>
    <t>Field monitoring supplies/gauge calibration/1 new steel tape/1 contiunous monitoring device/TerraFlex software/Trimble device support</t>
  </si>
  <si>
    <r>
      <t>Proposed FY 2025 Operating &amp; Capital Budgets</t>
    </r>
    <r>
      <rPr>
        <sz val="11"/>
        <color theme="1"/>
        <rFont val="Calibri"/>
        <family val="2"/>
        <scheme val="minor"/>
      </rPr>
      <t xml:space="preserve"> - </t>
    </r>
    <r>
      <rPr>
        <b/>
        <sz val="11"/>
        <color theme="1"/>
        <rFont val="Calibri"/>
        <family val="2"/>
        <scheme val="minor"/>
      </rPr>
      <t>November 14, 2024</t>
    </r>
  </si>
  <si>
    <t xml:space="preserve">TAGD/TWA/TGWA/Sam's Club </t>
  </si>
  <si>
    <t>Stabilization/repair of wall/Fencing of 213 S. Magnolia Street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</si>
</sst>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&quot;$&quot;* #,##0.0000_);_(&quot;$&quot;* \(#,##0.0000\);_(&quot;$&quot;* &quot;-&quot;??_);_(@_)"/>
    <numFmt numFmtId="166" formatCode="_(&quot;$&quot;* #,##0.00000_);_(&quot;$&quot;* \(#,##0.00000\);_(&quot;$&quot;* &quot;-&quot;??_);_(@_)"/>
    <numFmt numFmtId="167" formatCode="_(&quot;$&quot;* #,##0.000000_);_(&quot;$&quot;* \(#,##0.000000\);_(&quot;$&quot;* &quot;-&quot;??_);_(@_)"/>
    <numFmt numFmtId="168" formatCode="_([$$-409]* #,##0.00_);_([$$-409]* \(#,##0.00\);_([$$-409]* &quot;-&quot;??_);_(@_)"/>
    <numFmt numFmtId="169" formatCode="_(* #,##0_);_(* \(#,##0\);_(* &quot;-&quot;??_);_(@_)"/>
    <numFmt numFmtId="170" formatCode="&quot;$&quot;#,##0.00000_);[Red]\(&quot;$&quot;#,##0.00000\)"/>
    <numFmt numFmtId="171" formatCode="&quot;$&quot;#,##0.000000"/>
    <numFmt numFmtId="172" formatCode="&quot;$&quot;#,##0.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6" fillId="0" borderId="0">
      <alignment vertical="top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left"/>
    </xf>
    <xf numFmtId="7" fontId="0" fillId="0" borderId="0" xfId="1" applyNumberFormat="1" applyFont="1"/>
    <xf numFmtId="0" fontId="3" fillId="0" borderId="0" xfId="0" applyFont="1" applyAlignment="1">
      <alignment horizontal="left"/>
    </xf>
    <xf numFmtId="44" fontId="0" fillId="0" borderId="0" xfId="1" applyFont="1"/>
    <xf numFmtId="0" fontId="0" fillId="0" borderId="0" xfId="0" applyAlignment="1">
      <alignment horizontal="left"/>
    </xf>
    <xf numFmtId="7" fontId="3" fillId="0" borderId="0" xfId="1" applyNumberFormat="1" applyFont="1" applyAlignment="1">
      <alignment horizontal="center"/>
    </xf>
    <xf numFmtId="7" fontId="3" fillId="0" borderId="0" xfId="1" applyNumberFormat="1" applyFont="1"/>
    <xf numFmtId="7" fontId="1" fillId="0" borderId="0" xfId="1" applyNumberFormat="1" applyFont="1" applyFill="1"/>
    <xf numFmtId="7" fontId="1" fillId="0" borderId="0" xfId="1" applyNumberFormat="1" applyFont="1"/>
    <xf numFmtId="7" fontId="3" fillId="0" borderId="0" xfId="1" applyNumberFormat="1" applyFont="1" applyFill="1"/>
    <xf numFmtId="7" fontId="5" fillId="0" borderId="0" xfId="1" applyNumberFormat="1" applyFont="1"/>
    <xf numFmtId="7" fontId="4" fillId="0" borderId="0" xfId="1" applyNumberFormat="1" applyFont="1"/>
    <xf numFmtId="44" fontId="4" fillId="0" borderId="0" xfId="1" applyFont="1"/>
    <xf numFmtId="0" fontId="3" fillId="0" borderId="0" xfId="1" applyNumberFormat="1" applyFont="1" applyAlignment="1">
      <alignment horizontal="center"/>
    </xf>
    <xf numFmtId="44" fontId="3" fillId="0" borderId="0" xfId="1" applyFont="1"/>
    <xf numFmtId="44" fontId="3" fillId="0" borderId="0" xfId="1" applyFont="1" applyFill="1"/>
    <xf numFmtId="44" fontId="1" fillId="0" borderId="0" xfId="1" applyFont="1" applyFill="1"/>
    <xf numFmtId="44" fontId="1" fillId="0" borderId="0" xfId="1" applyFont="1"/>
    <xf numFmtId="44" fontId="0" fillId="0" borderId="0" xfId="1" applyFont="1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5" fontId="0" fillId="0" borderId="0" xfId="1" applyNumberFormat="1" applyFont="1"/>
    <xf numFmtId="166" fontId="0" fillId="0" borderId="0" xfId="1" applyNumberFormat="1" applyFont="1"/>
    <xf numFmtId="167" fontId="0" fillId="0" borderId="0" xfId="1" applyNumberFormat="1" applyFont="1"/>
    <xf numFmtId="0" fontId="0" fillId="0" borderId="0" xfId="0" applyAlignment="1">
      <alignment horizontal="center" wrapText="1"/>
    </xf>
    <xf numFmtId="0" fontId="0" fillId="2" borderId="0" xfId="0" applyFill="1"/>
    <xf numFmtId="44" fontId="0" fillId="0" borderId="0" xfId="0" applyNumberFormat="1"/>
    <xf numFmtId="10" fontId="0" fillId="0" borderId="0" xfId="0" applyNumberFormat="1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44" fontId="10" fillId="0" borderId="0" xfId="1" applyFont="1" applyAlignment="1">
      <alignment horizontal="center"/>
    </xf>
    <xf numFmtId="44" fontId="3" fillId="0" borderId="0" xfId="0" applyNumberFormat="1" applyFont="1"/>
    <xf numFmtId="44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168" fontId="3" fillId="0" borderId="0" xfId="0" applyNumberFormat="1" applyFont="1"/>
    <xf numFmtId="44" fontId="9" fillId="0" borderId="0" xfId="1" applyFont="1"/>
    <xf numFmtId="44" fontId="0" fillId="2" borderId="0" xfId="0" applyNumberFormat="1" applyFill="1"/>
    <xf numFmtId="43" fontId="0" fillId="0" borderId="0" xfId="3" applyFont="1"/>
    <xf numFmtId="0" fontId="0" fillId="2" borderId="0" xfId="0" applyFill="1" applyAlignment="1">
      <alignment horizontal="center"/>
    </xf>
    <xf numFmtId="44" fontId="0" fillId="2" borderId="0" xfId="1" applyFont="1" applyFill="1"/>
    <xf numFmtId="166" fontId="0" fillId="2" borderId="0" xfId="1" applyNumberFormat="1" applyFont="1" applyFill="1"/>
    <xf numFmtId="44" fontId="0" fillId="0" borderId="0" xfId="0" applyNumberFormat="1" applyAlignment="1">
      <alignment horizontal="center"/>
    </xf>
    <xf numFmtId="167" fontId="0" fillId="2" borderId="0" xfId="1" applyNumberFormat="1" applyFont="1" applyFill="1"/>
    <xf numFmtId="44" fontId="0" fillId="2" borderId="0" xfId="0" applyNumberFormat="1" applyFill="1" applyAlignment="1">
      <alignment horizontal="center"/>
    </xf>
    <xf numFmtId="167" fontId="0" fillId="0" borderId="0" xfId="1" applyNumberFormat="1" applyFont="1" applyAlignment="1">
      <alignment horizontal="left"/>
    </xf>
    <xf numFmtId="167" fontId="0" fillId="0" borderId="0" xfId="0" applyNumberFormat="1"/>
    <xf numFmtId="167" fontId="0" fillId="2" borderId="0" xfId="0" applyNumberFormat="1" applyFill="1"/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169" fontId="3" fillId="0" borderId="0" xfId="3" applyNumberFormat="1" applyFont="1" applyAlignment="1">
      <alignment horizontal="center"/>
    </xf>
    <xf numFmtId="169" fontId="3" fillId="0" borderId="0" xfId="3" applyNumberFormat="1" applyFont="1" applyAlignment="1"/>
    <xf numFmtId="3" fontId="0" fillId="0" borderId="0" xfId="0" applyNumberFormat="1"/>
    <xf numFmtId="169" fontId="0" fillId="0" borderId="0" xfId="3" applyNumberFormat="1" applyFont="1" applyAlignment="1"/>
    <xf numFmtId="169" fontId="0" fillId="0" borderId="0" xfId="0" applyNumberFormat="1"/>
    <xf numFmtId="0" fontId="4" fillId="0" borderId="0" xfId="0" applyFont="1" applyAlignment="1">
      <alignment wrapText="1"/>
    </xf>
    <xf numFmtId="10" fontId="0" fillId="0" borderId="0" xfId="4" applyNumberFormat="1" applyFont="1" applyAlignment="1">
      <alignment horizontal="center"/>
    </xf>
    <xf numFmtId="7" fontId="0" fillId="0" borderId="0" xfId="1" applyNumberFormat="1" applyFont="1" applyAlignment="1">
      <alignment wrapText="1"/>
    </xf>
    <xf numFmtId="44" fontId="0" fillId="0" borderId="0" xfId="1" applyFont="1" applyAlignment="1">
      <alignment wrapText="1"/>
    </xf>
    <xf numFmtId="44" fontId="0" fillId="0" borderId="0" xfId="1" applyFont="1" applyFill="1" applyAlignment="1">
      <alignment wrapText="1"/>
    </xf>
    <xf numFmtId="0" fontId="2" fillId="0" borderId="0" xfId="0" applyFont="1"/>
    <xf numFmtId="44" fontId="3" fillId="3" borderId="0" xfId="1" applyFont="1" applyFill="1"/>
    <xf numFmtId="44" fontId="4" fillId="0" borderId="0" xfId="1" applyFont="1" applyFill="1"/>
    <xf numFmtId="7" fontId="0" fillId="0" borderId="0" xfId="1" applyNumberFormat="1" applyFont="1" applyFill="1"/>
    <xf numFmtId="0" fontId="0" fillId="0" borderId="0" xfId="0" applyAlignment="1">
      <alignment vertical="top"/>
    </xf>
    <xf numFmtId="170" fontId="0" fillId="2" borderId="0" xfId="0" applyNumberFormat="1" applyFill="1" applyAlignment="1">
      <alignment horizontal="center"/>
    </xf>
    <xf numFmtId="43" fontId="0" fillId="0" borderId="0" xfId="0" applyNumberFormat="1"/>
    <xf numFmtId="170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9" fontId="9" fillId="0" borderId="0" xfId="0" applyNumberFormat="1" applyFont="1" applyAlignment="1">
      <alignment horizontal="center"/>
    </xf>
    <xf numFmtId="44" fontId="9" fillId="0" borderId="0" xfId="1" applyFont="1" applyAlignment="1">
      <alignment horizontal="center"/>
    </xf>
    <xf numFmtId="3" fontId="0" fillId="0" borderId="0" xfId="0" applyNumberFormat="1" applyAlignment="1">
      <alignment horizontal="center"/>
    </xf>
    <xf numFmtId="8" fontId="0" fillId="0" borderId="0" xfId="1" applyNumberFormat="1" applyFont="1"/>
    <xf numFmtId="4" fontId="0" fillId="0" borderId="0" xfId="0" applyNumberFormat="1"/>
    <xf numFmtId="44" fontId="2" fillId="2" borderId="0" xfId="1" applyFont="1" applyFill="1"/>
    <xf numFmtId="44" fontId="2" fillId="2" borderId="0" xfId="1" applyFont="1" applyFill="1" applyAlignment="1">
      <alignment horizontal="center"/>
    </xf>
    <xf numFmtId="44" fontId="2" fillId="0" borderId="0" xfId="1" applyFont="1"/>
    <xf numFmtId="44" fontId="2" fillId="0" borderId="0" xfId="1" applyFont="1" applyFill="1"/>
    <xf numFmtId="44" fontId="2" fillId="2" borderId="0" xfId="1" applyFont="1" applyFill="1" applyAlignment="1"/>
    <xf numFmtId="0" fontId="0" fillId="4" borderId="0" xfId="0" applyFill="1"/>
    <xf numFmtId="7" fontId="4" fillId="4" borderId="0" xfId="1" applyNumberFormat="1" applyFont="1" applyFill="1"/>
    <xf numFmtId="44" fontId="4" fillId="4" borderId="0" xfId="1" applyFont="1" applyFill="1"/>
    <xf numFmtId="44" fontId="0" fillId="4" borderId="0" xfId="1" applyFont="1" applyFill="1"/>
    <xf numFmtId="44" fontId="2" fillId="4" borderId="0" xfId="1" applyFont="1" applyFill="1"/>
    <xf numFmtId="44" fontId="0" fillId="4" borderId="0" xfId="0" applyNumberFormat="1" applyFill="1"/>
    <xf numFmtId="7" fontId="0" fillId="4" borderId="0" xfId="1" applyNumberFormat="1" applyFont="1" applyFill="1"/>
    <xf numFmtId="8" fontId="0" fillId="4" borderId="0" xfId="1" applyNumberFormat="1" applyFont="1" applyFill="1"/>
    <xf numFmtId="44" fontId="9" fillId="0" borderId="0" xfId="1" applyFont="1" applyFill="1"/>
    <xf numFmtId="7" fontId="0" fillId="2" borderId="0" xfId="1" applyNumberFormat="1" applyFont="1" applyFill="1"/>
    <xf numFmtId="0" fontId="0" fillId="2" borderId="0" xfId="0" applyFill="1" applyAlignment="1">
      <alignment wrapText="1"/>
    </xf>
    <xf numFmtId="15" fontId="3" fillId="3" borderId="0" xfId="0" applyNumberFormat="1" applyFont="1" applyFill="1" applyAlignment="1">
      <alignment horizontal="center"/>
    </xf>
    <xf numFmtId="0" fontId="4" fillId="5" borderId="0" xfId="0" applyFont="1" applyFill="1"/>
    <xf numFmtId="44" fontId="3" fillId="2" borderId="0" xfId="1" applyFont="1" applyFill="1" applyAlignment="1">
      <alignment horizontal="center" wrapText="1"/>
    </xf>
    <xf numFmtId="44" fontId="3" fillId="2" borderId="0" xfId="1" applyFont="1" applyFill="1" applyAlignment="1">
      <alignment horizontal="center"/>
    </xf>
  </cellXfs>
  <cellStyles count="5">
    <cellStyle name="Comma" xfId="3" builtinId="3"/>
    <cellStyle name="Currency" xfId="1" builtinId="4"/>
    <cellStyle name="Normal" xfId="0" builtinId="0"/>
    <cellStyle name="Normal 2" xfId="2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zoomScaleNormal="100" workbookViewId="0">
      <selection activeCell="J28" sqref="J28"/>
    </sheetView>
  </sheetViews>
  <sheetFormatPr defaultRowHeight="15" x14ac:dyDescent="0.25"/>
  <cols>
    <col min="1" max="1" width="17.42578125" customWidth="1"/>
    <col min="3" max="3" width="16.28515625" customWidth="1"/>
    <col min="5" max="5" width="15.28515625" customWidth="1"/>
    <col min="10" max="10" width="14.85546875" customWidth="1"/>
  </cols>
  <sheetData>
    <row r="1" spans="1:5" x14ac:dyDescent="0.25">
      <c r="A1" t="s">
        <v>182</v>
      </c>
    </row>
    <row r="3" spans="1:5" x14ac:dyDescent="0.25">
      <c r="A3" s="6" t="s">
        <v>123</v>
      </c>
      <c r="B3" s="29">
        <v>4.4999999999999998E-2</v>
      </c>
      <c r="C3" s="30">
        <v>285514.23999999999</v>
      </c>
      <c r="D3" s="30"/>
      <c r="E3" s="20"/>
    </row>
    <row r="4" spans="1:5" x14ac:dyDescent="0.25">
      <c r="A4" s="6" t="s">
        <v>144</v>
      </c>
      <c r="B4" s="29">
        <v>4.4999999999999998E-2</v>
      </c>
      <c r="C4" s="30">
        <v>139302.41</v>
      </c>
      <c r="D4" s="30"/>
      <c r="E4" s="20"/>
    </row>
    <row r="5" spans="1:5" x14ac:dyDescent="0.25">
      <c r="A5" s="6" t="s">
        <v>181</v>
      </c>
      <c r="B5" s="29">
        <v>4.4999999999999998E-2</v>
      </c>
      <c r="C5" s="30">
        <v>114908.34</v>
      </c>
      <c r="D5" s="30"/>
      <c r="E5" s="20"/>
    </row>
    <row r="6" spans="1:5" x14ac:dyDescent="0.25">
      <c r="A6" s="6" t="s">
        <v>113</v>
      </c>
      <c r="B6" s="29">
        <v>2.75E-2</v>
      </c>
      <c r="C6" s="30">
        <v>275696.52</v>
      </c>
      <c r="D6" s="30"/>
      <c r="E6" s="20"/>
    </row>
    <row r="7" spans="1:5" x14ac:dyDescent="0.25">
      <c r="A7" s="6"/>
      <c r="B7" s="29"/>
      <c r="C7" s="30"/>
      <c r="D7" s="30"/>
      <c r="E7" s="20"/>
    </row>
    <row r="8" spans="1:5" x14ac:dyDescent="0.25">
      <c r="A8" s="6"/>
      <c r="B8" s="29"/>
      <c r="C8" s="28"/>
      <c r="D8" s="30"/>
      <c r="E8" s="20"/>
    </row>
    <row r="9" spans="1:5" x14ac:dyDescent="0.25">
      <c r="A9" s="32"/>
      <c r="B9" s="32"/>
      <c r="C9" s="28">
        <f>SUM(C3:C8)</f>
        <v>815421.51</v>
      </c>
      <c r="D9" s="33"/>
      <c r="E9" s="33"/>
    </row>
    <row r="10" spans="1:5" x14ac:dyDescent="0.25">
      <c r="A10" s="22"/>
      <c r="B10" s="22"/>
      <c r="C10" s="28"/>
      <c r="D10" s="31"/>
      <c r="E10" s="31"/>
    </row>
    <row r="11" spans="1:5" x14ac:dyDescent="0.25">
      <c r="A11" s="6" t="s">
        <v>124</v>
      </c>
      <c r="B11" s="29">
        <v>3.0000000000000001E-3</v>
      </c>
      <c r="C11" s="28">
        <v>226901.93</v>
      </c>
      <c r="D11" s="35"/>
      <c r="E11" s="34"/>
    </row>
    <row r="12" spans="1:5" x14ac:dyDescent="0.25">
      <c r="A12" s="6" t="s">
        <v>125</v>
      </c>
      <c r="B12" s="29">
        <v>3.0000000000000001E-3</v>
      </c>
      <c r="C12" s="28">
        <v>53276.86</v>
      </c>
      <c r="D12" s="16"/>
      <c r="E12" s="34"/>
    </row>
    <row r="13" spans="1:5" x14ac:dyDescent="0.25">
      <c r="A13" s="6"/>
      <c r="B13" s="59"/>
      <c r="C13" s="28"/>
      <c r="E13" s="34"/>
    </row>
    <row r="14" spans="1:5" x14ac:dyDescent="0.25">
      <c r="A14" s="6"/>
      <c r="B14" s="59"/>
      <c r="C14" s="28"/>
      <c r="E14" s="34"/>
    </row>
    <row r="15" spans="1:5" x14ac:dyDescent="0.25">
      <c r="C15" s="28">
        <f>SUM(C11:C13)</f>
        <v>280178.78999999998</v>
      </c>
    </row>
    <row r="17" spans="1:5" x14ac:dyDescent="0.25">
      <c r="A17" s="36" t="s">
        <v>43</v>
      </c>
      <c r="C17" s="28">
        <f>SUM(C15,C9)</f>
        <v>1095600.3</v>
      </c>
      <c r="D17" s="37"/>
      <c r="E17" s="3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360A-082B-4365-ABB8-02AB0E73FED6}">
  <dimension ref="A1:G11"/>
  <sheetViews>
    <sheetView zoomScale="120" zoomScaleNormal="120" workbookViewId="0">
      <selection activeCell="M20" sqref="M20"/>
    </sheetView>
  </sheetViews>
  <sheetFormatPr defaultRowHeight="15" x14ac:dyDescent="0.25"/>
  <sheetData>
    <row r="1" spans="1:7" x14ac:dyDescent="0.25">
      <c r="A1" s="1" t="s">
        <v>147</v>
      </c>
    </row>
    <row r="3" spans="1:7" x14ac:dyDescent="0.25">
      <c r="A3" t="s">
        <v>139</v>
      </c>
      <c r="C3" s="1" t="s">
        <v>148</v>
      </c>
      <c r="G3" t="s">
        <v>176</v>
      </c>
    </row>
    <row r="5" spans="1:7" x14ac:dyDescent="0.25">
      <c r="A5" t="s">
        <v>32</v>
      </c>
      <c r="C5" s="1" t="s">
        <v>149</v>
      </c>
      <c r="G5" t="s">
        <v>176</v>
      </c>
    </row>
    <row r="7" spans="1:7" x14ac:dyDescent="0.25">
      <c r="A7" t="s">
        <v>140</v>
      </c>
      <c r="C7" s="1" t="s">
        <v>151</v>
      </c>
      <c r="G7" t="s">
        <v>177</v>
      </c>
    </row>
    <row r="9" spans="1:7" x14ac:dyDescent="0.25">
      <c r="A9" t="s">
        <v>141</v>
      </c>
      <c r="C9" s="1" t="s">
        <v>152</v>
      </c>
      <c r="G9" t="s">
        <v>177</v>
      </c>
    </row>
    <row r="11" spans="1:7" x14ac:dyDescent="0.25">
      <c r="A11" t="s">
        <v>142</v>
      </c>
      <c r="C11" s="1" t="s">
        <v>150</v>
      </c>
      <c r="G11" t="s">
        <v>178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D79D5-E5CA-4EFB-BB8F-8700CF728060}">
  <dimension ref="A1:M35"/>
  <sheetViews>
    <sheetView zoomScaleNormal="100" workbookViewId="0">
      <selection activeCell="D3" sqref="D3"/>
    </sheetView>
  </sheetViews>
  <sheetFormatPr defaultRowHeight="15" x14ac:dyDescent="0.25"/>
  <cols>
    <col min="1" max="1" width="27.42578125" customWidth="1"/>
    <col min="2" max="3" width="20.5703125" customWidth="1"/>
    <col min="4" max="4" width="19.42578125" customWidth="1"/>
    <col min="5" max="5" width="21.140625" style="22" customWidth="1"/>
    <col min="6" max="6" width="15.140625" style="28" customWidth="1"/>
    <col min="7" max="7" width="16.140625" style="28" customWidth="1"/>
    <col min="8" max="8" width="17.7109375" style="28" customWidth="1"/>
    <col min="9" max="9" width="22.85546875" customWidth="1"/>
    <col min="10" max="10" width="20.140625" customWidth="1"/>
    <col min="11" max="11" width="14.28515625" customWidth="1"/>
    <col min="12" max="12" width="14.140625" customWidth="1"/>
    <col min="13" max="13" width="16" customWidth="1"/>
  </cols>
  <sheetData>
    <row r="1" spans="1:13" x14ac:dyDescent="0.25">
      <c r="A1" s="1" t="s">
        <v>165</v>
      </c>
      <c r="D1" s="5"/>
      <c r="E1" s="31"/>
    </row>
    <row r="2" spans="1:13" x14ac:dyDescent="0.25">
      <c r="D2" s="5"/>
      <c r="E2" s="31"/>
      <c r="J2" s="73"/>
      <c r="K2" s="73"/>
      <c r="L2" s="73"/>
      <c r="M2" s="73"/>
    </row>
    <row r="3" spans="1:13" x14ac:dyDescent="0.25">
      <c r="A3" s="1" t="s">
        <v>76</v>
      </c>
      <c r="B3" s="53" t="s">
        <v>145</v>
      </c>
      <c r="C3" s="53"/>
      <c r="D3" s="5"/>
      <c r="E3" s="31"/>
      <c r="F3" s="46" t="s">
        <v>179</v>
      </c>
      <c r="G3" s="46" t="s">
        <v>137</v>
      </c>
      <c r="H3" s="46" t="s">
        <v>180</v>
      </c>
      <c r="I3" s="22"/>
      <c r="J3" s="70"/>
      <c r="K3" s="71"/>
      <c r="L3" s="72"/>
      <c r="M3" s="71"/>
    </row>
    <row r="4" spans="1:13" x14ac:dyDescent="0.25">
      <c r="B4" s="54" t="s">
        <v>77</v>
      </c>
      <c r="C4" s="53" t="s">
        <v>166</v>
      </c>
      <c r="D4" s="35" t="s">
        <v>146</v>
      </c>
      <c r="E4" s="35"/>
      <c r="F4" s="68">
        <v>5.1249999999999997E-2</v>
      </c>
      <c r="G4" s="68">
        <v>5.3749999999999999E-2</v>
      </c>
      <c r="H4" s="68">
        <v>5.8749999999999997E-2</v>
      </c>
    </row>
    <row r="5" spans="1:13" x14ac:dyDescent="0.25">
      <c r="B5" s="54"/>
      <c r="C5" s="54"/>
      <c r="D5" s="5"/>
      <c r="E5" s="31"/>
    </row>
    <row r="6" spans="1:13" x14ac:dyDescent="0.25">
      <c r="A6" t="s">
        <v>78</v>
      </c>
      <c r="B6" s="55">
        <v>5967774500</v>
      </c>
      <c r="C6" s="77">
        <f>SUM(B6/325851)</f>
        <v>18314.427453038352</v>
      </c>
      <c r="D6" s="20">
        <f>SUM(B6/1000*0.04875)</f>
        <v>290929.00687500002</v>
      </c>
      <c r="E6" s="30"/>
      <c r="F6" s="28">
        <f>SUM(B6/1000*0.05125)</f>
        <v>305848.44312499999</v>
      </c>
      <c r="G6" s="28">
        <f>SUM(B6/1000*0.05375)</f>
        <v>320767.87937500002</v>
      </c>
      <c r="H6" s="28">
        <f>SUM(B6/1000*0.05875)</f>
        <v>350606.75187499996</v>
      </c>
      <c r="I6" s="40"/>
      <c r="J6" s="28"/>
      <c r="K6" s="28"/>
      <c r="L6" s="28"/>
      <c r="M6" s="28"/>
    </row>
    <row r="7" spans="1:13" x14ac:dyDescent="0.25">
      <c r="A7" t="s">
        <v>79</v>
      </c>
      <c r="B7" s="55">
        <v>4993332892</v>
      </c>
      <c r="C7" s="77">
        <f t="shared" ref="C7:C21" si="0">SUM(B7/325851)</f>
        <v>15323.975964474561</v>
      </c>
      <c r="D7" s="20">
        <f t="shared" ref="D7:D20" si="1">SUM(B7/1000*0.04875)</f>
        <v>243424.978485</v>
      </c>
      <c r="E7" s="30"/>
      <c r="F7" s="28">
        <f t="shared" ref="F7:F20" si="2">SUM(B7/1000*0.05125)</f>
        <v>255908.31071499997</v>
      </c>
      <c r="G7" s="28">
        <f t="shared" ref="G7:G20" si="3">SUM(B7/1000*0.05375)</f>
        <v>268391.64294499997</v>
      </c>
      <c r="H7" s="28">
        <f t="shared" ref="H7:H20" si="4">SUM(B7/1000*0.05875)</f>
        <v>293358.30740499997</v>
      </c>
      <c r="I7" s="40"/>
      <c r="J7" s="28"/>
      <c r="K7" s="28"/>
      <c r="L7" s="28"/>
      <c r="M7" s="28"/>
    </row>
    <row r="8" spans="1:13" x14ac:dyDescent="0.25">
      <c r="A8" t="s">
        <v>80</v>
      </c>
      <c r="B8" s="55">
        <v>1844837190</v>
      </c>
      <c r="C8" s="77">
        <f t="shared" si="0"/>
        <v>5661.5974479133101</v>
      </c>
      <c r="D8" s="20">
        <f t="shared" si="1"/>
        <v>89935.813012500003</v>
      </c>
      <c r="E8" s="30"/>
      <c r="F8" s="28">
        <f t="shared" si="2"/>
        <v>94547.905987499995</v>
      </c>
      <c r="G8" s="28">
        <f t="shared" si="3"/>
        <v>99159.998962500002</v>
      </c>
      <c r="H8" s="28">
        <f t="shared" si="4"/>
        <v>108384.18491249999</v>
      </c>
      <c r="I8" s="40"/>
      <c r="J8" s="28"/>
      <c r="K8" s="28"/>
      <c r="L8" s="28"/>
      <c r="M8" s="28"/>
    </row>
    <row r="9" spans="1:13" x14ac:dyDescent="0.25">
      <c r="A9" t="s">
        <v>81</v>
      </c>
      <c r="B9" s="55">
        <v>755451556</v>
      </c>
      <c r="C9" s="77">
        <f t="shared" si="0"/>
        <v>2318.3956961924314</v>
      </c>
      <c r="D9" s="20">
        <f t="shared" si="1"/>
        <v>36828.263355000003</v>
      </c>
      <c r="E9" s="31"/>
      <c r="F9" s="28">
        <f t="shared" si="2"/>
        <v>38716.892244999995</v>
      </c>
      <c r="G9" s="28">
        <f t="shared" si="3"/>
        <v>40605.521134999995</v>
      </c>
      <c r="H9" s="28">
        <f t="shared" si="4"/>
        <v>44382.778914999995</v>
      </c>
      <c r="I9" s="40"/>
      <c r="J9" s="28"/>
      <c r="K9" s="28"/>
      <c r="L9" s="28"/>
      <c r="M9" s="28"/>
    </row>
    <row r="10" spans="1:13" x14ac:dyDescent="0.25">
      <c r="A10" t="s">
        <v>82</v>
      </c>
      <c r="B10" s="55">
        <v>489747000</v>
      </c>
      <c r="C10" s="77">
        <f t="shared" si="0"/>
        <v>1502.9783551377777</v>
      </c>
      <c r="D10" s="20">
        <f t="shared" si="1"/>
        <v>23875.166250000002</v>
      </c>
      <c r="E10" s="31"/>
      <c r="F10" s="28">
        <f t="shared" si="2"/>
        <v>25099.533749999999</v>
      </c>
      <c r="G10" s="28">
        <f t="shared" si="3"/>
        <v>26323.901249999999</v>
      </c>
      <c r="H10" s="28">
        <f t="shared" si="4"/>
        <v>28772.63625</v>
      </c>
      <c r="I10" s="40"/>
      <c r="J10" s="28"/>
      <c r="K10" s="28"/>
      <c r="L10" s="28"/>
      <c r="M10" s="28"/>
    </row>
    <row r="11" spans="1:13" x14ac:dyDescent="0.25">
      <c r="A11" t="s">
        <v>83</v>
      </c>
      <c r="B11" s="55">
        <v>448923000</v>
      </c>
      <c r="C11" s="77">
        <f t="shared" si="0"/>
        <v>1377.6940994503623</v>
      </c>
      <c r="D11" s="20">
        <f t="shared" si="1"/>
        <v>21884.99625</v>
      </c>
      <c r="E11" s="31"/>
      <c r="F11" s="28">
        <f t="shared" si="2"/>
        <v>23007.303749999999</v>
      </c>
      <c r="G11" s="28">
        <f t="shared" si="3"/>
        <v>24129.611249999998</v>
      </c>
      <c r="H11" s="28">
        <f t="shared" si="4"/>
        <v>26374.22625</v>
      </c>
      <c r="I11" s="40"/>
      <c r="J11" s="28"/>
      <c r="K11" s="28"/>
      <c r="L11" s="28"/>
      <c r="M11" s="28"/>
    </row>
    <row r="12" spans="1:13" x14ac:dyDescent="0.25">
      <c r="A12" t="s">
        <v>84</v>
      </c>
      <c r="B12" s="55">
        <v>377456204</v>
      </c>
      <c r="C12" s="77">
        <f t="shared" si="0"/>
        <v>1158.370555867559</v>
      </c>
      <c r="D12" s="20">
        <f t="shared" si="1"/>
        <v>18400.989945000001</v>
      </c>
      <c r="E12" s="31"/>
      <c r="F12" s="28">
        <f t="shared" si="2"/>
        <v>19344.630454999999</v>
      </c>
      <c r="G12" s="28">
        <f t="shared" si="3"/>
        <v>20288.270965</v>
      </c>
      <c r="H12" s="28">
        <f t="shared" si="4"/>
        <v>22175.551985000002</v>
      </c>
      <c r="I12" s="40"/>
      <c r="J12" s="28"/>
      <c r="K12" s="28"/>
      <c r="L12" s="28"/>
      <c r="M12" s="28"/>
    </row>
    <row r="13" spans="1:13" x14ac:dyDescent="0.25">
      <c r="A13" t="s">
        <v>85</v>
      </c>
      <c r="B13" s="55">
        <v>175143400</v>
      </c>
      <c r="C13" s="77">
        <f t="shared" si="0"/>
        <v>537.49535830793832</v>
      </c>
      <c r="D13" s="20">
        <f t="shared" si="1"/>
        <v>8538.2407500000008</v>
      </c>
      <c r="E13" s="30"/>
      <c r="F13" s="28">
        <f t="shared" si="2"/>
        <v>8976.0992499999993</v>
      </c>
      <c r="G13" s="28">
        <f t="shared" si="3"/>
        <v>9413.9577499999996</v>
      </c>
      <c r="H13" s="28">
        <f t="shared" si="4"/>
        <v>10289.674749999998</v>
      </c>
      <c r="I13" s="40"/>
      <c r="J13" s="28"/>
      <c r="K13" s="28"/>
      <c r="L13" s="28"/>
      <c r="M13" s="28"/>
    </row>
    <row r="14" spans="1:13" x14ac:dyDescent="0.25">
      <c r="A14" t="s">
        <v>86</v>
      </c>
      <c r="B14" s="55">
        <v>147790700</v>
      </c>
      <c r="C14" s="77">
        <f t="shared" si="0"/>
        <v>453.55300428723558</v>
      </c>
      <c r="D14" s="20">
        <f t="shared" si="1"/>
        <v>7204.7966250000009</v>
      </c>
      <c r="E14" s="31"/>
      <c r="F14" s="28">
        <f t="shared" si="2"/>
        <v>7574.2733749999998</v>
      </c>
      <c r="G14" s="28">
        <f t="shared" si="3"/>
        <v>7943.7501250000005</v>
      </c>
      <c r="H14" s="28">
        <f t="shared" si="4"/>
        <v>8682.7036250000001</v>
      </c>
      <c r="I14" s="40"/>
      <c r="J14" s="28"/>
      <c r="K14" s="28"/>
      <c r="L14" s="28"/>
      <c r="M14" s="28"/>
    </row>
    <row r="15" spans="1:13" x14ac:dyDescent="0.25">
      <c r="A15" t="s">
        <v>87</v>
      </c>
      <c r="B15" s="55">
        <v>85994050</v>
      </c>
      <c r="C15" s="77">
        <f t="shared" si="0"/>
        <v>263.90604908378367</v>
      </c>
      <c r="D15" s="20">
        <f t="shared" si="1"/>
        <v>4192.2099375000007</v>
      </c>
      <c r="E15" s="30"/>
      <c r="F15" s="28">
        <f t="shared" si="2"/>
        <v>4407.1950624999999</v>
      </c>
      <c r="G15" s="28">
        <f t="shared" si="3"/>
        <v>4622.1801875000001</v>
      </c>
      <c r="H15" s="28">
        <f t="shared" si="4"/>
        <v>5052.1504374999995</v>
      </c>
      <c r="I15" s="40"/>
      <c r="J15" s="28"/>
      <c r="K15" s="28"/>
      <c r="L15" s="28"/>
      <c r="M15" s="28"/>
    </row>
    <row r="16" spans="1:13" x14ac:dyDescent="0.25">
      <c r="A16" t="s">
        <v>88</v>
      </c>
      <c r="B16" s="55">
        <v>68206000</v>
      </c>
      <c r="C16" s="77">
        <f t="shared" si="0"/>
        <v>209.31652810640446</v>
      </c>
      <c r="D16" s="20">
        <f t="shared" si="1"/>
        <v>3325.0425</v>
      </c>
      <c r="E16" s="31"/>
      <c r="F16" s="28">
        <f t="shared" si="2"/>
        <v>3495.5574999999999</v>
      </c>
      <c r="G16" s="28">
        <f t="shared" si="3"/>
        <v>3666.0724999999998</v>
      </c>
      <c r="H16" s="28">
        <f t="shared" si="4"/>
        <v>4007.1025</v>
      </c>
      <c r="I16" s="40"/>
      <c r="J16" s="28"/>
      <c r="K16" s="28"/>
      <c r="L16" s="28"/>
      <c r="M16" s="28"/>
    </row>
    <row r="17" spans="1:13" x14ac:dyDescent="0.25">
      <c r="A17" t="s">
        <v>89</v>
      </c>
      <c r="B17" s="55">
        <v>47944000</v>
      </c>
      <c r="C17" s="77">
        <f t="shared" si="0"/>
        <v>147.13473335972577</v>
      </c>
      <c r="D17" s="20">
        <f t="shared" si="1"/>
        <v>2337.27</v>
      </c>
      <c r="E17" s="30"/>
      <c r="F17" s="28">
        <f t="shared" si="2"/>
        <v>2457.1299999999997</v>
      </c>
      <c r="G17" s="28">
        <f t="shared" si="3"/>
        <v>2576.9899999999998</v>
      </c>
      <c r="H17" s="28">
        <f t="shared" si="4"/>
        <v>2816.71</v>
      </c>
      <c r="I17" s="40"/>
      <c r="J17" s="28"/>
      <c r="K17" s="28"/>
      <c r="L17" s="28"/>
      <c r="M17" s="28"/>
    </row>
    <row r="18" spans="1:13" x14ac:dyDescent="0.25">
      <c r="A18" t="s">
        <v>90</v>
      </c>
      <c r="B18" s="55">
        <v>44033000</v>
      </c>
      <c r="C18" s="77">
        <f t="shared" si="0"/>
        <v>135.1323150765227</v>
      </c>
      <c r="D18" s="20">
        <f t="shared" si="1"/>
        <v>2146.6087499999999</v>
      </c>
      <c r="E18" s="31"/>
      <c r="F18" s="28">
        <f t="shared" si="2"/>
        <v>2256.6912499999999</v>
      </c>
      <c r="G18" s="28">
        <f t="shared" si="3"/>
        <v>2366.7737499999998</v>
      </c>
      <c r="H18" s="28">
        <f t="shared" si="4"/>
        <v>2586.9387499999998</v>
      </c>
      <c r="I18" s="40"/>
      <c r="J18" s="28"/>
      <c r="K18" s="28"/>
      <c r="L18" s="28"/>
      <c r="M18" s="28"/>
    </row>
    <row r="19" spans="1:13" x14ac:dyDescent="0.25">
      <c r="A19" t="s">
        <v>91</v>
      </c>
      <c r="B19" s="55">
        <v>34489175</v>
      </c>
      <c r="C19" s="77">
        <f t="shared" si="0"/>
        <v>105.84339161150342</v>
      </c>
      <c r="D19" s="20">
        <f t="shared" si="1"/>
        <v>1681.3472812500002</v>
      </c>
      <c r="E19" s="30"/>
      <c r="F19" s="28">
        <f t="shared" si="2"/>
        <v>1767.5702187500001</v>
      </c>
      <c r="G19" s="28">
        <f t="shared" si="3"/>
        <v>1853.79315625</v>
      </c>
      <c r="H19" s="28">
        <f t="shared" si="4"/>
        <v>2026.2390312500002</v>
      </c>
      <c r="I19" s="40"/>
      <c r="J19" s="28"/>
      <c r="K19" s="28"/>
      <c r="L19" s="28"/>
      <c r="M19" s="28"/>
    </row>
    <row r="20" spans="1:13" x14ac:dyDescent="0.25">
      <c r="A20" t="s">
        <v>93</v>
      </c>
      <c r="B20" s="55">
        <v>28051334</v>
      </c>
      <c r="C20" s="77">
        <f t="shared" si="0"/>
        <v>86.086383040101154</v>
      </c>
      <c r="D20" s="20">
        <f t="shared" si="1"/>
        <v>1367.5025324999999</v>
      </c>
      <c r="E20" s="30"/>
      <c r="F20" s="28">
        <f t="shared" si="2"/>
        <v>1437.6308674999998</v>
      </c>
      <c r="G20" s="28">
        <f t="shared" si="3"/>
        <v>1507.7592024999999</v>
      </c>
      <c r="H20" s="28">
        <f t="shared" si="4"/>
        <v>1648.0158724999999</v>
      </c>
      <c r="I20" s="40"/>
      <c r="J20" s="28"/>
      <c r="K20" s="28"/>
      <c r="L20" s="28"/>
      <c r="M20" s="28"/>
    </row>
    <row r="21" spans="1:13" x14ac:dyDescent="0.25">
      <c r="A21" t="s">
        <v>92</v>
      </c>
      <c r="B21" s="55">
        <v>1420864703</v>
      </c>
      <c r="C21" s="77">
        <f t="shared" si="0"/>
        <v>4360.4736612746319</v>
      </c>
      <c r="D21" s="20">
        <f>SUM(B21/325851*0.31)</f>
        <v>1351.7468349951359</v>
      </c>
      <c r="E21" s="30"/>
      <c r="F21" s="28">
        <f>SUM(C21*0.31)</f>
        <v>1351.7468349951359</v>
      </c>
      <c r="G21" s="28">
        <f>SUM(C21*0.31)</f>
        <v>1351.7468349951359</v>
      </c>
      <c r="H21" s="28">
        <f>SUM(C21*0.31)</f>
        <v>1351.7468349951359</v>
      </c>
      <c r="I21" s="40"/>
      <c r="J21" s="28"/>
      <c r="K21" s="28"/>
      <c r="L21" s="28"/>
      <c r="M21" s="28"/>
    </row>
    <row r="22" spans="1:13" x14ac:dyDescent="0.25">
      <c r="B22" s="56"/>
      <c r="C22" s="56"/>
      <c r="D22" s="20"/>
      <c r="E22" s="31"/>
      <c r="J22" s="28"/>
    </row>
    <row r="23" spans="1:13" x14ac:dyDescent="0.25">
      <c r="B23" s="57">
        <f>SUM(B6:B21)</f>
        <v>16930038704</v>
      </c>
      <c r="C23" s="69">
        <f>SUM(C6:C22)</f>
        <v>51956.380996222193</v>
      </c>
      <c r="D23" s="20">
        <f>SUM(D6:D22)</f>
        <v>757423.97938374511</v>
      </c>
      <c r="E23" s="44"/>
      <c r="F23" s="28">
        <f>SUM(F6:F22)</f>
        <v>796196.91438624484</v>
      </c>
      <c r="G23" s="28">
        <f>SUM(G6:G22)</f>
        <v>834969.84938874515</v>
      </c>
      <c r="H23" s="28">
        <f>SUM(H6:H22)</f>
        <v>912515.71939374495</v>
      </c>
      <c r="I23" s="69"/>
      <c r="J23" s="28"/>
      <c r="K23" s="5"/>
      <c r="L23" s="5"/>
      <c r="M23" s="5"/>
    </row>
    <row r="24" spans="1:13" x14ac:dyDescent="0.25">
      <c r="B24" s="57"/>
      <c r="C24" s="69"/>
      <c r="D24" s="20"/>
      <c r="E24" s="44"/>
      <c r="I24" s="69"/>
      <c r="J24" s="28"/>
      <c r="K24" s="5"/>
      <c r="L24" s="5"/>
      <c r="M24" s="5"/>
    </row>
    <row r="26" spans="1:13" x14ac:dyDescent="0.25">
      <c r="A26" t="s">
        <v>94</v>
      </c>
      <c r="D26" s="20">
        <f>SUM(D23)</f>
        <v>757423.97938374511</v>
      </c>
      <c r="E26" s="30"/>
      <c r="F26" s="20">
        <f>SUM(F23)</f>
        <v>796196.91438624484</v>
      </c>
      <c r="G26" s="20">
        <f>SUM(G23)</f>
        <v>834969.84938874515</v>
      </c>
      <c r="H26" s="20">
        <f>SUM(H23)</f>
        <v>912515.71939374495</v>
      </c>
    </row>
    <row r="27" spans="1:13" x14ac:dyDescent="0.25">
      <c r="A27" t="s">
        <v>115</v>
      </c>
      <c r="D27" s="20">
        <v>19124.169999999998</v>
      </c>
      <c r="E27" s="30"/>
      <c r="F27" s="20">
        <v>17792.11</v>
      </c>
      <c r="G27" s="20">
        <v>17792.11</v>
      </c>
      <c r="H27" s="20">
        <v>17792.11</v>
      </c>
    </row>
    <row r="28" spans="1:13" x14ac:dyDescent="0.25">
      <c r="A28" t="s">
        <v>95</v>
      </c>
      <c r="D28" s="20">
        <v>6700</v>
      </c>
      <c r="E28" s="30"/>
      <c r="F28" s="20">
        <v>8500</v>
      </c>
      <c r="G28" s="20">
        <v>8500</v>
      </c>
      <c r="H28" s="20">
        <v>8500</v>
      </c>
    </row>
    <row r="29" spans="1:13" x14ac:dyDescent="0.25">
      <c r="A29" t="s">
        <v>96</v>
      </c>
      <c r="D29" s="20">
        <v>500</v>
      </c>
      <c r="E29" s="30"/>
      <c r="F29" s="20">
        <v>2500</v>
      </c>
      <c r="G29" s="20">
        <v>2500</v>
      </c>
      <c r="H29" s="20">
        <v>2500</v>
      </c>
    </row>
    <row r="30" spans="1:13" x14ac:dyDescent="0.25">
      <c r="D30" s="5"/>
      <c r="E30" s="31"/>
      <c r="F30" s="5"/>
      <c r="G30" s="5"/>
      <c r="H30" s="5"/>
    </row>
    <row r="31" spans="1:13" x14ac:dyDescent="0.25">
      <c r="A31" t="s">
        <v>97</v>
      </c>
      <c r="D31" s="38">
        <f>SUM(D26:D30)</f>
        <v>783748.14938374516</v>
      </c>
      <c r="E31" s="74"/>
      <c r="F31" s="38">
        <f>SUM(F26:F30)</f>
        <v>824989.02438624483</v>
      </c>
      <c r="G31" s="38">
        <f>SUM(G26:G30)</f>
        <v>863761.95938874513</v>
      </c>
      <c r="H31" s="38">
        <f>SUM(H26:H30)</f>
        <v>941307.82939374493</v>
      </c>
    </row>
    <row r="32" spans="1:13" x14ac:dyDescent="0.25">
      <c r="D32" s="38"/>
      <c r="E32" s="74"/>
    </row>
    <row r="33" spans="4:5" x14ac:dyDescent="0.25">
      <c r="D33" s="38"/>
      <c r="E33" s="74"/>
    </row>
    <row r="34" spans="4:5" x14ac:dyDescent="0.25">
      <c r="D34" s="38"/>
      <c r="E34" s="74"/>
    </row>
    <row r="35" spans="4:5" x14ac:dyDescent="0.25">
      <c r="D35" s="55"/>
      <c r="E35" s="75"/>
    </row>
  </sheetData>
  <pageMargins left="0.7" right="0.7" top="0.75" bottom="0.75" header="0.3" footer="0.3"/>
  <pageSetup orientation="landscape" r:id="rId1"/>
  <ignoredErrors>
    <ignoredError sqref="D21 G2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87"/>
  <sheetViews>
    <sheetView tabSelected="1" zoomScaleNormal="100" workbookViewId="0">
      <pane ySplit="4" topLeftCell="A5" activePane="bottomLeft" state="frozen"/>
      <selection pane="bottomLeft" activeCell="V15" sqref="V15"/>
    </sheetView>
  </sheetViews>
  <sheetFormatPr defaultRowHeight="15" x14ac:dyDescent="0.25"/>
  <cols>
    <col min="1" max="1" width="60.42578125" customWidth="1"/>
    <col min="2" max="2" width="15.7109375" style="3" hidden="1" customWidth="1"/>
    <col min="3" max="3" width="0.140625" style="3" hidden="1" customWidth="1"/>
    <col min="4" max="4" width="15.7109375" style="3" hidden="1" customWidth="1"/>
    <col min="5" max="5" width="15.140625" hidden="1" customWidth="1"/>
    <col min="6" max="6" width="14.7109375" hidden="1" customWidth="1"/>
    <col min="7" max="7" width="1.42578125" hidden="1" customWidth="1"/>
    <col min="8" max="8" width="1.28515625" hidden="1" customWidth="1"/>
    <col min="9" max="9" width="14.5703125" hidden="1" customWidth="1"/>
    <col min="10" max="10" width="13.5703125" hidden="1" customWidth="1"/>
    <col min="11" max="11" width="13.140625" hidden="1" customWidth="1"/>
    <col min="12" max="12" width="15" customWidth="1"/>
    <col min="13" max="13" width="13.5703125" customWidth="1"/>
    <col min="14" max="14" width="15" customWidth="1"/>
    <col min="15" max="15" width="16" style="5" customWidth="1"/>
    <col min="16" max="16" width="15.85546875" bestFit="1" customWidth="1"/>
    <col min="17" max="17" width="76" customWidth="1"/>
  </cols>
  <sheetData>
    <row r="1" spans="1:17" x14ac:dyDescent="0.25">
      <c r="A1" s="1" t="s">
        <v>0</v>
      </c>
      <c r="I1" s="63"/>
      <c r="J1" s="63"/>
      <c r="K1" s="63"/>
      <c r="L1" s="63"/>
    </row>
    <row r="2" spans="1:17" x14ac:dyDescent="0.25">
      <c r="A2" s="1" t="s">
        <v>186</v>
      </c>
      <c r="I2" s="63"/>
      <c r="J2" s="63"/>
      <c r="K2" s="63"/>
      <c r="L2" s="63"/>
    </row>
    <row r="3" spans="1:17" ht="30" x14ac:dyDescent="0.25">
      <c r="A3" s="63" t="s">
        <v>168</v>
      </c>
      <c r="B3" s="7" t="s">
        <v>26</v>
      </c>
      <c r="C3" s="7" t="s">
        <v>29</v>
      </c>
      <c r="D3" s="7" t="s">
        <v>29</v>
      </c>
      <c r="E3" s="7" t="s">
        <v>29</v>
      </c>
      <c r="F3" s="7" t="s">
        <v>29</v>
      </c>
      <c r="G3" s="7" t="s">
        <v>29</v>
      </c>
      <c r="H3" s="7" t="s">
        <v>29</v>
      </c>
      <c r="I3" s="50" t="s">
        <v>29</v>
      </c>
      <c r="J3" s="50" t="s">
        <v>29</v>
      </c>
      <c r="K3" s="50" t="s">
        <v>29</v>
      </c>
      <c r="L3" s="50" t="s">
        <v>126</v>
      </c>
      <c r="M3" s="50" t="s">
        <v>118</v>
      </c>
      <c r="N3" s="50" t="s">
        <v>67</v>
      </c>
      <c r="O3" s="96" t="s">
        <v>98</v>
      </c>
      <c r="P3" s="52" t="s">
        <v>155</v>
      </c>
    </row>
    <row r="4" spans="1:17" x14ac:dyDescent="0.25">
      <c r="B4" s="7" t="s">
        <v>27</v>
      </c>
      <c r="C4" s="15">
        <v>2012</v>
      </c>
      <c r="D4" s="15">
        <v>2013</v>
      </c>
      <c r="E4" s="15">
        <v>2014</v>
      </c>
      <c r="F4" s="15">
        <v>2015</v>
      </c>
      <c r="G4" s="15">
        <v>2016</v>
      </c>
      <c r="H4" s="15">
        <v>2017</v>
      </c>
      <c r="I4" s="51" t="s">
        <v>68</v>
      </c>
      <c r="J4" s="51" t="s">
        <v>75</v>
      </c>
      <c r="K4" s="51" t="s">
        <v>114</v>
      </c>
      <c r="L4" s="51" t="s">
        <v>153</v>
      </c>
      <c r="M4" s="94">
        <v>45604</v>
      </c>
      <c r="N4" s="51" t="s">
        <v>127</v>
      </c>
      <c r="O4" s="97" t="s">
        <v>154</v>
      </c>
    </row>
    <row r="5" spans="1:17" x14ac:dyDescent="0.25">
      <c r="B5" s="7"/>
      <c r="C5" s="15"/>
      <c r="D5" s="15"/>
      <c r="E5" s="15"/>
      <c r="F5" s="15"/>
      <c r="G5" s="15"/>
      <c r="H5" s="15"/>
      <c r="I5" s="36"/>
      <c r="J5" s="36"/>
      <c r="K5" s="36"/>
      <c r="L5" s="36"/>
      <c r="M5" s="36"/>
      <c r="N5" s="36"/>
      <c r="O5" s="35"/>
    </row>
    <row r="6" spans="1:17" x14ac:dyDescent="0.25">
      <c r="A6" s="1" t="s">
        <v>1</v>
      </c>
    </row>
    <row r="7" spans="1:17" ht="44.25" customHeight="1" x14ac:dyDescent="0.25">
      <c r="A7" t="s">
        <v>117</v>
      </c>
      <c r="B7" s="3">
        <v>565.37</v>
      </c>
      <c r="C7" s="5">
        <v>1455.07</v>
      </c>
      <c r="D7" s="3">
        <v>3680.27</v>
      </c>
      <c r="E7" s="5">
        <v>1566.79</v>
      </c>
      <c r="F7" s="5">
        <v>1984.23</v>
      </c>
      <c r="G7" s="5">
        <v>479.32</v>
      </c>
      <c r="H7" s="5">
        <v>864.37</v>
      </c>
      <c r="I7" s="20">
        <v>3157.28</v>
      </c>
      <c r="J7" s="3">
        <v>3764.1</v>
      </c>
      <c r="K7" s="5">
        <v>7620.95</v>
      </c>
      <c r="L7" s="3">
        <v>7000</v>
      </c>
      <c r="M7" s="3">
        <v>5106.93</v>
      </c>
      <c r="N7" s="5">
        <v>7000</v>
      </c>
      <c r="O7" s="78">
        <v>12000</v>
      </c>
      <c r="P7" s="28">
        <f>SUM(O7-L7)</f>
        <v>5000</v>
      </c>
      <c r="Q7" s="58" t="s">
        <v>173</v>
      </c>
    </row>
    <row r="8" spans="1:17" ht="15" customHeight="1" x14ac:dyDescent="0.25">
      <c r="A8" t="s">
        <v>23</v>
      </c>
      <c r="B8" s="3">
        <v>9213.24</v>
      </c>
      <c r="C8" s="5">
        <v>3858.07</v>
      </c>
      <c r="D8" s="5">
        <v>3713.5</v>
      </c>
      <c r="E8" s="5">
        <v>11807.1</v>
      </c>
      <c r="F8" s="5">
        <v>11884.46</v>
      </c>
      <c r="G8" s="5">
        <v>12866.32</v>
      </c>
      <c r="H8" s="5">
        <v>13373.11</v>
      </c>
      <c r="I8" s="20">
        <v>6560.44</v>
      </c>
      <c r="J8" s="3">
        <v>9610.42</v>
      </c>
      <c r="K8" s="5">
        <v>11171.01</v>
      </c>
      <c r="L8" s="3">
        <v>10000</v>
      </c>
      <c r="M8" s="3">
        <v>9577.2000000000007</v>
      </c>
      <c r="N8" s="5">
        <v>11000</v>
      </c>
      <c r="O8" s="78">
        <v>12000</v>
      </c>
      <c r="P8" s="28">
        <f t="shared" ref="P8:P70" si="0">SUM(O8-L8)</f>
        <v>2000</v>
      </c>
      <c r="Q8" s="21" t="s">
        <v>99</v>
      </c>
    </row>
    <row r="9" spans="1:17" x14ac:dyDescent="0.25">
      <c r="A9" t="s">
        <v>2</v>
      </c>
      <c r="B9" s="3">
        <v>333.2</v>
      </c>
      <c r="C9" s="5">
        <v>1523</v>
      </c>
      <c r="D9" s="5">
        <v>1315.86</v>
      </c>
      <c r="E9" s="5">
        <v>1006.2</v>
      </c>
      <c r="F9" s="5">
        <v>936.4</v>
      </c>
      <c r="G9" s="5">
        <v>558</v>
      </c>
      <c r="H9" s="5">
        <v>568.20000000000005</v>
      </c>
      <c r="I9" s="20">
        <v>992</v>
      </c>
      <c r="J9" s="3">
        <v>1052</v>
      </c>
      <c r="K9" s="5">
        <v>1462.76</v>
      </c>
      <c r="L9" s="3">
        <v>1400</v>
      </c>
      <c r="M9" s="3">
        <v>830</v>
      </c>
      <c r="N9" s="5">
        <v>1200</v>
      </c>
      <c r="O9" s="78">
        <v>1500</v>
      </c>
      <c r="P9" s="28">
        <f t="shared" si="0"/>
        <v>100</v>
      </c>
      <c r="Q9" s="58" t="s">
        <v>100</v>
      </c>
    </row>
    <row r="10" spans="1:17" ht="30" x14ac:dyDescent="0.25">
      <c r="A10" t="s">
        <v>3</v>
      </c>
      <c r="B10" s="13">
        <v>19502.099999999999</v>
      </c>
      <c r="C10" s="14">
        <v>3093.62</v>
      </c>
      <c r="D10" s="14">
        <v>8736.67</v>
      </c>
      <c r="E10" s="5">
        <v>8040.31</v>
      </c>
      <c r="F10" s="5">
        <v>24972.880000000001</v>
      </c>
      <c r="G10" s="5">
        <v>33429.599999999999</v>
      </c>
      <c r="H10" s="5">
        <v>33217.83</v>
      </c>
      <c r="I10" s="20">
        <v>25047.88</v>
      </c>
      <c r="J10" s="13">
        <v>27397.54</v>
      </c>
      <c r="K10" s="5">
        <v>33306.1</v>
      </c>
      <c r="L10" s="13">
        <v>71000</v>
      </c>
      <c r="M10" s="13">
        <v>77786.36</v>
      </c>
      <c r="N10" s="5">
        <v>78000</v>
      </c>
      <c r="O10" s="78">
        <v>53100</v>
      </c>
      <c r="P10" s="28">
        <f t="shared" si="0"/>
        <v>-17900</v>
      </c>
      <c r="Q10" s="58" t="s">
        <v>133</v>
      </c>
    </row>
    <row r="11" spans="1:17" s="21" customFormat="1" ht="31.5" customHeight="1" x14ac:dyDescent="0.25">
      <c r="A11" s="21" t="s">
        <v>25</v>
      </c>
      <c r="B11" s="60">
        <v>429.13</v>
      </c>
      <c r="C11" s="61">
        <v>592.89</v>
      </c>
      <c r="D11" s="61">
        <v>1264.54</v>
      </c>
      <c r="E11" s="61">
        <v>1502.72</v>
      </c>
      <c r="F11" s="61">
        <v>2264.5700000000002</v>
      </c>
      <c r="G11" s="61">
        <v>2656.27</v>
      </c>
      <c r="H11" s="61">
        <v>1831.48</v>
      </c>
      <c r="I11" s="62">
        <v>1489.73</v>
      </c>
      <c r="J11" s="60">
        <v>11416.11</v>
      </c>
      <c r="K11" s="61">
        <v>411.24</v>
      </c>
      <c r="L11" s="60">
        <v>5700</v>
      </c>
      <c r="M11" s="60">
        <v>4796.09</v>
      </c>
      <c r="N11" s="61">
        <v>5500</v>
      </c>
      <c r="O11" s="82">
        <v>5700</v>
      </c>
      <c r="P11" s="28">
        <f t="shared" si="0"/>
        <v>0</v>
      </c>
      <c r="Q11" s="21" t="s">
        <v>185</v>
      </c>
    </row>
    <row r="12" spans="1:17" x14ac:dyDescent="0.25">
      <c r="A12" t="s">
        <v>4</v>
      </c>
      <c r="B12" s="3">
        <v>300</v>
      </c>
      <c r="C12" s="5">
        <v>322</v>
      </c>
      <c r="D12" s="5">
        <v>359.09</v>
      </c>
      <c r="E12" s="5">
        <v>1319.41</v>
      </c>
      <c r="F12" s="5">
        <v>1451.8</v>
      </c>
      <c r="G12" s="5">
        <v>300</v>
      </c>
      <c r="H12" s="5">
        <v>600</v>
      </c>
      <c r="I12" s="20">
        <v>0</v>
      </c>
      <c r="J12" s="3">
        <v>300</v>
      </c>
      <c r="K12" s="5">
        <v>300</v>
      </c>
      <c r="L12" s="3">
        <v>500</v>
      </c>
      <c r="M12" s="3">
        <v>300</v>
      </c>
      <c r="N12" s="5">
        <v>300</v>
      </c>
      <c r="O12" s="78">
        <v>500</v>
      </c>
      <c r="P12" s="28">
        <f t="shared" si="0"/>
        <v>0</v>
      </c>
      <c r="Q12" s="21" t="s">
        <v>101</v>
      </c>
    </row>
    <row r="13" spans="1:17" x14ac:dyDescent="0.25">
      <c r="C13" s="5"/>
      <c r="D13" s="5"/>
      <c r="E13" s="5"/>
      <c r="F13" s="5"/>
      <c r="G13" s="5"/>
      <c r="H13" s="5"/>
      <c r="M13" s="3"/>
      <c r="P13" s="28"/>
    </row>
    <row r="14" spans="1:17" x14ac:dyDescent="0.25">
      <c r="A14" t="s">
        <v>5</v>
      </c>
      <c r="B14" s="8">
        <f t="shared" ref="B14:H14" si="1">SUM(B7:B13)</f>
        <v>30343.040000000001</v>
      </c>
      <c r="C14" s="16">
        <f t="shared" si="1"/>
        <v>10844.65</v>
      </c>
      <c r="D14" s="16">
        <f t="shared" si="1"/>
        <v>19069.930000000004</v>
      </c>
      <c r="E14" s="16">
        <f t="shared" si="1"/>
        <v>25242.530000000002</v>
      </c>
      <c r="F14" s="16">
        <f t="shared" si="1"/>
        <v>43494.340000000004</v>
      </c>
      <c r="G14" s="16">
        <f t="shared" si="1"/>
        <v>50289.509999999995</v>
      </c>
      <c r="H14" s="16">
        <f t="shared" si="1"/>
        <v>50454.990000000005</v>
      </c>
      <c r="I14" s="17">
        <f t="shared" ref="I14" si="2">SUM(I7:I13)</f>
        <v>37247.33</v>
      </c>
      <c r="J14" s="11">
        <f>SUM(J7:J12)</f>
        <v>53540.17</v>
      </c>
      <c r="K14" s="16">
        <f>SUM(K7:K13)</f>
        <v>54272.05999999999</v>
      </c>
      <c r="L14" s="11">
        <f>SUM(L7:L13)</f>
        <v>95600</v>
      </c>
      <c r="M14" s="11">
        <f>SUM(M7:M13)</f>
        <v>98396.58</v>
      </c>
      <c r="N14" s="11">
        <f>SUM(N7:N13)</f>
        <v>103000</v>
      </c>
      <c r="O14" s="38">
        <f>SUM(O7:O12)</f>
        <v>84800</v>
      </c>
      <c r="P14" s="28">
        <f t="shared" si="0"/>
        <v>-10800</v>
      </c>
    </row>
    <row r="15" spans="1:17" x14ac:dyDescent="0.25">
      <c r="B15" s="8"/>
      <c r="C15" s="16"/>
      <c r="D15" s="16"/>
      <c r="E15" s="5"/>
      <c r="F15" s="5"/>
      <c r="G15" s="5"/>
      <c r="H15" s="5"/>
      <c r="P15" s="28"/>
    </row>
    <row r="16" spans="1:17" x14ac:dyDescent="0.25">
      <c r="A16" s="4" t="s">
        <v>6</v>
      </c>
      <c r="C16" s="5"/>
      <c r="D16" s="5"/>
      <c r="E16" s="5"/>
      <c r="F16" s="5"/>
      <c r="G16" s="5"/>
      <c r="H16" s="5"/>
      <c r="P16" s="28"/>
    </row>
    <row r="17" spans="1:17" x14ac:dyDescent="0.25">
      <c r="A17" t="s">
        <v>160</v>
      </c>
      <c r="B17" s="3">
        <v>107630.27</v>
      </c>
      <c r="C17" s="5">
        <v>62421.64</v>
      </c>
      <c r="D17" s="5">
        <v>61253.74</v>
      </c>
      <c r="E17" s="5">
        <v>61346.02</v>
      </c>
      <c r="F17" s="5">
        <v>62190.1</v>
      </c>
      <c r="G17" s="5">
        <v>61800.92</v>
      </c>
      <c r="H17" s="5">
        <v>235382.64</v>
      </c>
      <c r="I17" s="20">
        <v>60745.919999999998</v>
      </c>
      <c r="J17" s="5">
        <v>61306.8</v>
      </c>
      <c r="K17" s="5">
        <v>61173.599999999999</v>
      </c>
      <c r="L17" s="5">
        <v>68500</v>
      </c>
      <c r="M17" s="5">
        <v>70320.58</v>
      </c>
      <c r="N17" s="5">
        <v>90000</v>
      </c>
      <c r="O17" s="78">
        <v>80000</v>
      </c>
      <c r="P17" s="28">
        <f t="shared" si="0"/>
        <v>11500</v>
      </c>
      <c r="Q17" s="21" t="s">
        <v>132</v>
      </c>
    </row>
    <row r="18" spans="1:17" x14ac:dyDescent="0.25">
      <c r="A18" t="s">
        <v>161</v>
      </c>
      <c r="C18" s="5"/>
      <c r="D18" s="5"/>
      <c r="E18" s="5"/>
      <c r="F18" s="5"/>
      <c r="G18" s="5"/>
      <c r="H18" s="5"/>
      <c r="I18" s="20"/>
      <c r="J18" s="5"/>
      <c r="K18" s="5"/>
      <c r="L18" s="5">
        <v>10000</v>
      </c>
      <c r="M18" s="5">
        <v>61460.4</v>
      </c>
      <c r="N18" s="5">
        <v>100000</v>
      </c>
      <c r="O18" s="78">
        <v>100000</v>
      </c>
      <c r="P18" s="28">
        <v>90000</v>
      </c>
      <c r="Q18" s="21" t="s">
        <v>175</v>
      </c>
    </row>
    <row r="19" spans="1:17" x14ac:dyDescent="0.25">
      <c r="A19" t="s">
        <v>116</v>
      </c>
      <c r="B19" s="13">
        <v>89985.52</v>
      </c>
      <c r="C19" s="14">
        <v>53669.599999999999</v>
      </c>
      <c r="D19" s="14">
        <v>52864.84</v>
      </c>
      <c r="E19" s="5">
        <v>107451.99</v>
      </c>
      <c r="F19" s="5">
        <v>119180.72</v>
      </c>
      <c r="G19" s="5">
        <v>147235.24</v>
      </c>
      <c r="H19" s="5">
        <v>118173.17</v>
      </c>
      <c r="I19" s="5">
        <v>0</v>
      </c>
      <c r="J19" s="14">
        <v>0</v>
      </c>
      <c r="K19" s="5">
        <v>162136.34</v>
      </c>
      <c r="L19" s="14">
        <v>120000</v>
      </c>
      <c r="M19" s="5">
        <v>176065.52</v>
      </c>
      <c r="N19" s="14">
        <v>200000</v>
      </c>
      <c r="O19" s="78">
        <v>130000</v>
      </c>
      <c r="P19" s="28">
        <f t="shared" si="0"/>
        <v>10000</v>
      </c>
      <c r="Q19" t="s">
        <v>122</v>
      </c>
    </row>
    <row r="20" spans="1:17" x14ac:dyDescent="0.25">
      <c r="A20" s="83" t="s">
        <v>156</v>
      </c>
      <c r="B20" s="84"/>
      <c r="C20" s="85"/>
      <c r="D20" s="85"/>
      <c r="E20" s="86"/>
      <c r="F20" s="86"/>
      <c r="G20" s="86"/>
      <c r="H20" s="86"/>
      <c r="I20" s="86">
        <v>0</v>
      </c>
      <c r="J20" s="85">
        <v>0</v>
      </c>
      <c r="K20" s="86">
        <v>0</v>
      </c>
      <c r="L20" s="85">
        <v>0</v>
      </c>
      <c r="M20" s="85">
        <v>78267.72</v>
      </c>
      <c r="N20" s="86">
        <v>80000</v>
      </c>
      <c r="O20" s="87">
        <v>70000</v>
      </c>
      <c r="P20" s="88">
        <f t="shared" si="0"/>
        <v>70000</v>
      </c>
      <c r="Q20" s="21"/>
    </row>
    <row r="21" spans="1:17" x14ac:dyDescent="0.25">
      <c r="A21" t="s">
        <v>22</v>
      </c>
      <c r="B21" s="3">
        <v>5756.93</v>
      </c>
      <c r="C21" s="5">
        <v>0</v>
      </c>
      <c r="D21" s="5">
        <v>35467.97</v>
      </c>
      <c r="E21" s="5">
        <v>26511.599999999999</v>
      </c>
      <c r="F21" s="5">
        <v>6200</v>
      </c>
      <c r="G21" s="5">
        <v>34708.89</v>
      </c>
      <c r="H21" s="5">
        <v>14756.93</v>
      </c>
      <c r="I21" s="20">
        <v>9373.2199999999993</v>
      </c>
      <c r="J21" s="5">
        <v>7890.16</v>
      </c>
      <c r="K21" s="5">
        <v>57017.25</v>
      </c>
      <c r="L21" s="5">
        <v>10000</v>
      </c>
      <c r="M21" s="5">
        <v>9234.44</v>
      </c>
      <c r="N21" s="5">
        <v>11000</v>
      </c>
      <c r="O21" s="78">
        <v>11000</v>
      </c>
      <c r="P21" s="28">
        <f t="shared" si="0"/>
        <v>1000</v>
      </c>
      <c r="Q21" s="21" t="s">
        <v>135</v>
      </c>
    </row>
    <row r="22" spans="1:17" x14ac:dyDescent="0.25">
      <c r="A22" t="s">
        <v>71</v>
      </c>
      <c r="B22" s="3">
        <v>3465</v>
      </c>
      <c r="C22" s="5">
        <v>3465</v>
      </c>
      <c r="D22" s="5">
        <v>3465</v>
      </c>
      <c r="E22" s="5">
        <v>3465</v>
      </c>
      <c r="F22" s="5">
        <v>3465</v>
      </c>
      <c r="G22" s="5">
        <v>3465</v>
      </c>
      <c r="H22" s="5">
        <v>3465</v>
      </c>
      <c r="I22" s="20">
        <v>4800</v>
      </c>
      <c r="J22" s="5">
        <v>4800</v>
      </c>
      <c r="K22" s="5">
        <v>4800</v>
      </c>
      <c r="L22" s="5">
        <v>4800</v>
      </c>
      <c r="M22" s="5">
        <v>4800</v>
      </c>
      <c r="N22" s="5">
        <v>4800</v>
      </c>
      <c r="O22" s="79">
        <v>10000</v>
      </c>
      <c r="P22" s="5">
        <v>0</v>
      </c>
      <c r="Q22" s="21" t="s">
        <v>102</v>
      </c>
    </row>
    <row r="23" spans="1:17" x14ac:dyDescent="0.25">
      <c r="A23" t="s">
        <v>28</v>
      </c>
      <c r="B23" s="3">
        <v>0</v>
      </c>
      <c r="C23" s="5">
        <v>3798</v>
      </c>
      <c r="D23" s="5">
        <v>1425</v>
      </c>
      <c r="E23" s="5">
        <v>705</v>
      </c>
      <c r="F23" s="5">
        <v>3150</v>
      </c>
      <c r="G23" s="5">
        <v>3975</v>
      </c>
      <c r="H23" s="5">
        <v>2925</v>
      </c>
      <c r="I23" s="20">
        <v>5054.25</v>
      </c>
      <c r="J23" s="5">
        <v>6450</v>
      </c>
      <c r="K23" s="5">
        <v>5060</v>
      </c>
      <c r="L23" s="5">
        <v>7000</v>
      </c>
      <c r="M23" s="5">
        <v>0</v>
      </c>
      <c r="N23" s="5">
        <v>7000</v>
      </c>
      <c r="O23" s="78">
        <v>7000</v>
      </c>
      <c r="P23" s="28">
        <f t="shared" si="0"/>
        <v>0</v>
      </c>
      <c r="Q23" s="21" t="s">
        <v>103</v>
      </c>
    </row>
    <row r="24" spans="1:17" x14ac:dyDescent="0.25">
      <c r="A24" t="s">
        <v>167</v>
      </c>
      <c r="C24" s="5"/>
      <c r="D24" s="5"/>
      <c r="E24" s="5"/>
      <c r="F24" s="5"/>
      <c r="G24" s="5"/>
      <c r="H24" s="5"/>
      <c r="I24" s="20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78">
        <v>60000</v>
      </c>
      <c r="P24" s="28">
        <f t="shared" si="0"/>
        <v>60000</v>
      </c>
      <c r="Q24" s="93" t="s">
        <v>171</v>
      </c>
    </row>
    <row r="25" spans="1:17" x14ac:dyDescent="0.25">
      <c r="C25" s="5"/>
      <c r="D25" s="5"/>
      <c r="E25" s="5"/>
      <c r="F25" s="5"/>
      <c r="G25" s="5"/>
      <c r="H25" s="5"/>
      <c r="I25" s="28"/>
      <c r="J25" s="28"/>
      <c r="K25" s="28"/>
      <c r="L25" s="28"/>
      <c r="M25" s="28"/>
      <c r="N25" s="28"/>
      <c r="P25" s="28">
        <f t="shared" si="0"/>
        <v>0</v>
      </c>
    </row>
    <row r="26" spans="1:17" x14ac:dyDescent="0.25">
      <c r="A26" t="s">
        <v>5</v>
      </c>
      <c r="B26" s="8">
        <f t="shared" ref="B26:H26" si="3">SUM(B17:B25)</f>
        <v>206837.72</v>
      </c>
      <c r="C26" s="16">
        <f t="shared" si="3"/>
        <v>123354.23999999999</v>
      </c>
      <c r="D26" s="16">
        <f t="shared" si="3"/>
        <v>154476.54999999999</v>
      </c>
      <c r="E26" s="16">
        <f t="shared" si="3"/>
        <v>199479.61000000002</v>
      </c>
      <c r="F26" s="16">
        <f t="shared" si="3"/>
        <v>194185.82</v>
      </c>
      <c r="G26" s="16">
        <f t="shared" si="3"/>
        <v>251185.05</v>
      </c>
      <c r="H26" s="16">
        <f t="shared" si="3"/>
        <v>374702.74</v>
      </c>
      <c r="I26" s="17">
        <f t="shared" ref="I26:O26" si="4">SUM(I17:I24)</f>
        <v>79973.39</v>
      </c>
      <c r="J26" s="17">
        <f t="shared" si="4"/>
        <v>80446.960000000006</v>
      </c>
      <c r="K26" s="16">
        <f t="shared" si="4"/>
        <v>290187.19</v>
      </c>
      <c r="L26" s="17">
        <f t="shared" si="4"/>
        <v>220300</v>
      </c>
      <c r="M26" s="17">
        <f t="shared" si="4"/>
        <v>400148.66</v>
      </c>
      <c r="N26" s="17">
        <f t="shared" si="4"/>
        <v>492800</v>
      </c>
      <c r="O26" s="38">
        <f t="shared" si="4"/>
        <v>468000</v>
      </c>
      <c r="P26" s="28">
        <f t="shared" si="0"/>
        <v>247700</v>
      </c>
    </row>
    <row r="27" spans="1:17" x14ac:dyDescent="0.25">
      <c r="B27" s="8"/>
      <c r="C27" s="16"/>
      <c r="D27" s="16"/>
      <c r="E27" s="5"/>
      <c r="F27" s="5"/>
      <c r="G27" s="5"/>
      <c r="H27" s="5"/>
      <c r="I27" s="28"/>
      <c r="J27" s="28"/>
      <c r="K27" s="28"/>
      <c r="L27" s="28"/>
      <c r="M27" s="28"/>
      <c r="N27" s="28"/>
      <c r="P27" s="28"/>
    </row>
    <row r="28" spans="1:17" x14ac:dyDescent="0.25">
      <c r="A28" s="4" t="s">
        <v>7</v>
      </c>
      <c r="C28" s="5"/>
      <c r="D28" s="5"/>
      <c r="E28" s="5"/>
      <c r="F28" s="5"/>
      <c r="G28" s="5"/>
      <c r="H28" s="5"/>
      <c r="I28" s="28"/>
      <c r="J28" s="28"/>
      <c r="K28" s="28"/>
      <c r="L28" s="28"/>
      <c r="M28" s="28"/>
      <c r="N28" s="28"/>
      <c r="P28" s="28"/>
    </row>
    <row r="29" spans="1:17" ht="15" customHeight="1" x14ac:dyDescent="0.25">
      <c r="A29" s="6" t="s">
        <v>24</v>
      </c>
      <c r="B29" s="3">
        <v>3636.13</v>
      </c>
      <c r="C29" s="5">
        <v>3855.88</v>
      </c>
      <c r="D29" s="5">
        <v>3682.46</v>
      </c>
      <c r="E29" s="5">
        <v>3553.24</v>
      </c>
      <c r="F29" s="5">
        <v>3846.33</v>
      </c>
      <c r="G29" s="5">
        <v>4680.6899999999996</v>
      </c>
      <c r="H29" s="5">
        <v>5204.67</v>
      </c>
      <c r="I29" s="20">
        <v>3246.78</v>
      </c>
      <c r="J29" s="5">
        <v>5177.13</v>
      </c>
      <c r="K29" s="5">
        <v>3244.39</v>
      </c>
      <c r="L29" s="5">
        <v>5200</v>
      </c>
      <c r="M29" s="5">
        <v>2554.83</v>
      </c>
      <c r="N29" s="5">
        <v>4000</v>
      </c>
      <c r="O29" s="78">
        <v>5000</v>
      </c>
      <c r="P29" s="28">
        <f t="shared" si="0"/>
        <v>-200</v>
      </c>
      <c r="Q29" s="67" t="s">
        <v>138</v>
      </c>
    </row>
    <row r="30" spans="1:17" x14ac:dyDescent="0.25">
      <c r="A30" t="s">
        <v>8</v>
      </c>
      <c r="B30" s="13">
        <v>529</v>
      </c>
      <c r="C30" s="14">
        <v>2596.48</v>
      </c>
      <c r="D30" s="14">
        <v>2895.42</v>
      </c>
      <c r="E30" s="5">
        <v>3250.14</v>
      </c>
      <c r="F30" s="5">
        <v>3025.24</v>
      </c>
      <c r="G30" s="5">
        <v>3380.54</v>
      </c>
      <c r="H30" s="5">
        <v>3732.62</v>
      </c>
      <c r="I30" s="20">
        <v>4630.08</v>
      </c>
      <c r="J30" s="14">
        <v>4029.58</v>
      </c>
      <c r="K30" s="5">
        <v>6447.98</v>
      </c>
      <c r="L30" s="14">
        <v>4500</v>
      </c>
      <c r="M30" s="14">
        <v>5978.56</v>
      </c>
      <c r="N30" s="5">
        <v>6000</v>
      </c>
      <c r="O30" s="78">
        <v>7000</v>
      </c>
      <c r="P30" s="28">
        <f t="shared" si="0"/>
        <v>2500</v>
      </c>
      <c r="Q30" s="21" t="s">
        <v>104</v>
      </c>
    </row>
    <row r="31" spans="1:17" ht="15" customHeight="1" x14ac:dyDescent="0.25">
      <c r="A31" t="s">
        <v>9</v>
      </c>
      <c r="B31" s="3">
        <v>403</v>
      </c>
      <c r="C31" s="5">
        <v>1043.6300000000001</v>
      </c>
      <c r="D31" s="5">
        <v>1875.75</v>
      </c>
      <c r="E31" s="5">
        <v>1627.75</v>
      </c>
      <c r="F31" s="20">
        <v>1627.75</v>
      </c>
      <c r="G31" s="5">
        <v>1743.94</v>
      </c>
      <c r="H31" s="5">
        <v>1753</v>
      </c>
      <c r="I31" s="20">
        <v>2623</v>
      </c>
      <c r="J31" s="5">
        <v>2971.03</v>
      </c>
      <c r="K31" s="5">
        <v>3080</v>
      </c>
      <c r="L31" s="5">
        <v>3500</v>
      </c>
      <c r="M31" s="5">
        <v>2809</v>
      </c>
      <c r="N31" s="5">
        <v>3500</v>
      </c>
      <c r="O31" s="78">
        <v>4000</v>
      </c>
      <c r="P31" s="28">
        <f t="shared" si="0"/>
        <v>500</v>
      </c>
      <c r="Q31" s="21" t="s">
        <v>187</v>
      </c>
    </row>
    <row r="32" spans="1:17" ht="30" x14ac:dyDescent="0.25">
      <c r="A32" t="s">
        <v>10</v>
      </c>
      <c r="B32" s="3">
        <v>5798.74</v>
      </c>
      <c r="C32" s="5">
        <v>2309.4</v>
      </c>
      <c r="D32" s="5">
        <v>3199.59</v>
      </c>
      <c r="E32" s="5">
        <v>6799.97</v>
      </c>
      <c r="F32" s="5">
        <v>4665.8500000000004</v>
      </c>
      <c r="G32" s="5">
        <v>6926.85</v>
      </c>
      <c r="H32" s="5">
        <v>5904.99</v>
      </c>
      <c r="I32" s="20">
        <v>1973.33</v>
      </c>
      <c r="J32" s="5">
        <v>2435.02</v>
      </c>
      <c r="K32" s="5">
        <v>9311.77</v>
      </c>
      <c r="L32" s="5">
        <v>10000</v>
      </c>
      <c r="M32" s="5">
        <v>8726.24</v>
      </c>
      <c r="N32" s="5">
        <v>10000</v>
      </c>
      <c r="O32" s="78">
        <v>10000</v>
      </c>
      <c r="P32" s="28">
        <f t="shared" si="0"/>
        <v>0</v>
      </c>
      <c r="Q32" s="58" t="s">
        <v>105</v>
      </c>
    </row>
    <row r="33" spans="1:17" x14ac:dyDescent="0.25">
      <c r="A33" t="s">
        <v>11</v>
      </c>
      <c r="B33" s="13">
        <v>2179.91</v>
      </c>
      <c r="C33" s="14">
        <v>3361.26</v>
      </c>
      <c r="D33" s="14">
        <v>3698.71</v>
      </c>
      <c r="E33" s="5">
        <v>3428.94</v>
      </c>
      <c r="F33" s="5">
        <v>3300.8</v>
      </c>
      <c r="G33" s="5">
        <v>3326.22</v>
      </c>
      <c r="H33" s="5">
        <v>3523.66</v>
      </c>
      <c r="I33" s="20">
        <v>3319.95</v>
      </c>
      <c r="J33" s="14">
        <v>4034.29</v>
      </c>
      <c r="K33" s="5">
        <v>4051.45</v>
      </c>
      <c r="L33" s="14">
        <v>4000</v>
      </c>
      <c r="M33" s="14">
        <v>3917.07</v>
      </c>
      <c r="N33" s="5">
        <v>4500</v>
      </c>
      <c r="O33" s="78">
        <v>5000</v>
      </c>
      <c r="P33" s="28">
        <f t="shared" si="0"/>
        <v>1000</v>
      </c>
      <c r="Q33" s="21" t="s">
        <v>106</v>
      </c>
    </row>
    <row r="34" spans="1:17" x14ac:dyDescent="0.25">
      <c r="A34" t="s">
        <v>12</v>
      </c>
      <c r="B34" s="3">
        <v>2147.6799999999998</v>
      </c>
      <c r="C34" s="5">
        <v>5503.88</v>
      </c>
      <c r="D34" s="5">
        <v>3826.98</v>
      </c>
      <c r="E34" s="5">
        <v>2890.4</v>
      </c>
      <c r="F34" s="5">
        <v>3061.38</v>
      </c>
      <c r="G34" s="5">
        <v>3571.94</v>
      </c>
      <c r="H34" s="5">
        <v>3333.38</v>
      </c>
      <c r="I34" s="20">
        <v>2219.7600000000002</v>
      </c>
      <c r="J34" s="5">
        <v>2217.75</v>
      </c>
      <c r="K34" s="5">
        <v>2621.69</v>
      </c>
      <c r="L34" s="5">
        <v>3000</v>
      </c>
      <c r="M34" s="5">
        <v>2179.7399999999998</v>
      </c>
      <c r="N34" s="5">
        <v>2500</v>
      </c>
      <c r="O34" s="78">
        <v>3000</v>
      </c>
      <c r="P34" s="28">
        <f t="shared" si="0"/>
        <v>0</v>
      </c>
      <c r="Q34" s="21" t="s">
        <v>136</v>
      </c>
    </row>
    <row r="35" spans="1:17" x14ac:dyDescent="0.25">
      <c r="A35" t="s">
        <v>13</v>
      </c>
      <c r="B35" s="3">
        <v>1735.68</v>
      </c>
      <c r="C35" s="5">
        <v>3299.69</v>
      </c>
      <c r="D35" s="5">
        <v>1273.8900000000001</v>
      </c>
      <c r="E35" s="5">
        <v>1424.61</v>
      </c>
      <c r="F35" s="5">
        <v>715.8</v>
      </c>
      <c r="G35" s="5">
        <v>2136.71</v>
      </c>
      <c r="H35" s="5">
        <v>2072.17</v>
      </c>
      <c r="I35" s="20">
        <v>862.61</v>
      </c>
      <c r="J35" s="5">
        <v>1237.58</v>
      </c>
      <c r="K35" s="5">
        <v>1209.01</v>
      </c>
      <c r="L35" s="5">
        <v>1000</v>
      </c>
      <c r="M35" s="5">
        <v>1570.87</v>
      </c>
      <c r="N35" s="5">
        <v>1700</v>
      </c>
      <c r="O35" s="78">
        <v>1500</v>
      </c>
      <c r="P35" s="28">
        <f t="shared" si="0"/>
        <v>500</v>
      </c>
      <c r="Q35" s="21" t="s">
        <v>107</v>
      </c>
    </row>
    <row r="36" spans="1:17" ht="14.45" customHeight="1" x14ac:dyDescent="0.25">
      <c r="A36" t="s">
        <v>157</v>
      </c>
      <c r="B36" s="3">
        <v>3030.96</v>
      </c>
      <c r="C36" s="5">
        <v>4955.25</v>
      </c>
      <c r="D36" s="5">
        <v>10420.68</v>
      </c>
      <c r="E36" s="5">
        <v>10237.709999999999</v>
      </c>
      <c r="F36" s="5">
        <v>7455.34</v>
      </c>
      <c r="G36" s="5">
        <v>5695.6</v>
      </c>
      <c r="H36" s="5">
        <v>5014.6899999999996</v>
      </c>
      <c r="I36" s="20">
        <v>3241.7</v>
      </c>
      <c r="J36" s="5">
        <v>8621.2099999999991</v>
      </c>
      <c r="K36" s="76">
        <v>7673.83</v>
      </c>
      <c r="L36" s="5">
        <v>12000</v>
      </c>
      <c r="M36" s="5">
        <v>4963.21</v>
      </c>
      <c r="N36" s="5">
        <v>6000</v>
      </c>
      <c r="O36" s="78">
        <v>10000</v>
      </c>
      <c r="P36" s="28">
        <f t="shared" si="0"/>
        <v>-2000</v>
      </c>
      <c r="Q36" s="21" t="s">
        <v>121</v>
      </c>
    </row>
    <row r="37" spans="1:17" ht="14.45" customHeight="1" x14ac:dyDescent="0.25">
      <c r="A37" s="83" t="s">
        <v>158</v>
      </c>
      <c r="B37" s="89"/>
      <c r="C37" s="86"/>
      <c r="D37" s="86"/>
      <c r="E37" s="86"/>
      <c r="F37" s="86"/>
      <c r="G37" s="86"/>
      <c r="H37" s="86"/>
      <c r="I37" s="86"/>
      <c r="J37" s="86"/>
      <c r="K37" s="90"/>
      <c r="L37" s="86"/>
      <c r="M37" s="86">
        <v>1355.97</v>
      </c>
      <c r="N37" s="86">
        <v>3500</v>
      </c>
      <c r="O37" s="87">
        <v>4500</v>
      </c>
      <c r="P37" s="88">
        <f t="shared" si="0"/>
        <v>4500</v>
      </c>
      <c r="Q37" s="21"/>
    </row>
    <row r="38" spans="1:17" ht="14.45" customHeight="1" x14ac:dyDescent="0.25">
      <c r="A38" t="s">
        <v>159</v>
      </c>
      <c r="B38" s="66"/>
      <c r="C38" s="20"/>
      <c r="D38" s="20"/>
      <c r="E38" s="20"/>
      <c r="F38" s="20"/>
      <c r="G38" s="20"/>
      <c r="H38" s="20"/>
      <c r="I38" s="20">
        <v>0</v>
      </c>
      <c r="J38" s="20">
        <v>6480</v>
      </c>
      <c r="K38" s="20">
        <v>32027.06</v>
      </c>
      <c r="L38" s="20">
        <v>20000</v>
      </c>
      <c r="M38" s="20">
        <v>19312.5</v>
      </c>
      <c r="N38" s="20">
        <v>20000</v>
      </c>
      <c r="O38" s="81">
        <v>25000</v>
      </c>
      <c r="P38" s="28">
        <f t="shared" si="0"/>
        <v>5000</v>
      </c>
      <c r="Q38" s="21" t="s">
        <v>131</v>
      </c>
    </row>
    <row r="39" spans="1:17" ht="14.45" customHeight="1" x14ac:dyDescent="0.25">
      <c r="A39" s="83" t="s">
        <v>119</v>
      </c>
      <c r="B39" s="89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>
        <v>9025</v>
      </c>
      <c r="N39" s="86">
        <v>0</v>
      </c>
      <c r="O39" s="87">
        <v>20000</v>
      </c>
      <c r="P39" s="88">
        <f t="shared" si="0"/>
        <v>20000</v>
      </c>
      <c r="Q39" s="21"/>
    </row>
    <row r="40" spans="1:17" ht="14.45" customHeight="1" x14ac:dyDescent="0.25">
      <c r="A40" t="s">
        <v>120</v>
      </c>
      <c r="C40" s="5"/>
      <c r="D40" s="5"/>
      <c r="E40" s="5"/>
      <c r="F40" s="5"/>
      <c r="G40" s="5"/>
      <c r="H40" s="5"/>
      <c r="I40" s="5">
        <v>0</v>
      </c>
      <c r="J40" s="5">
        <v>1307.81</v>
      </c>
      <c r="K40" s="5">
        <v>9542</v>
      </c>
      <c r="L40" s="5">
        <v>13000</v>
      </c>
      <c r="M40" s="5">
        <v>12083.08</v>
      </c>
      <c r="N40" s="5">
        <v>12000</v>
      </c>
      <c r="O40" s="78">
        <v>7000</v>
      </c>
      <c r="P40" s="28">
        <f t="shared" si="0"/>
        <v>-6000</v>
      </c>
      <c r="Q40" s="21" t="s">
        <v>130</v>
      </c>
    </row>
    <row r="41" spans="1:17" x14ac:dyDescent="0.25">
      <c r="A41" s="27" t="s">
        <v>170</v>
      </c>
      <c r="B41" s="92"/>
      <c r="C41" s="42"/>
      <c r="D41" s="42"/>
      <c r="E41" s="42"/>
      <c r="F41" s="42"/>
      <c r="G41" s="42"/>
      <c r="H41" s="42"/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78">
        <v>32500</v>
      </c>
      <c r="P41" s="28">
        <f>SUM(O41-L41)</f>
        <v>32500</v>
      </c>
      <c r="Q41" s="93" t="s">
        <v>172</v>
      </c>
    </row>
    <row r="42" spans="1:17" x14ac:dyDescent="0.25">
      <c r="C42" s="5"/>
      <c r="D42" s="5"/>
      <c r="E42" s="5"/>
      <c r="F42" s="5"/>
      <c r="G42" s="5"/>
      <c r="H42" s="5"/>
      <c r="I42" s="28"/>
      <c r="J42" s="28"/>
      <c r="K42" s="28"/>
      <c r="L42" s="28"/>
      <c r="M42" s="28"/>
      <c r="N42" s="28"/>
      <c r="P42" s="28">
        <f t="shared" si="0"/>
        <v>0</v>
      </c>
    </row>
    <row r="43" spans="1:17" x14ac:dyDescent="0.25">
      <c r="A43" t="s">
        <v>5</v>
      </c>
      <c r="B43" s="8">
        <f t="shared" ref="B43:H43" si="5">SUM(B29:B42)</f>
        <v>19461.099999999999</v>
      </c>
      <c r="C43" s="16">
        <f t="shared" si="5"/>
        <v>26925.47</v>
      </c>
      <c r="D43" s="16">
        <f t="shared" si="5"/>
        <v>30873.48</v>
      </c>
      <c r="E43" s="16">
        <f t="shared" si="5"/>
        <v>33212.759999999995</v>
      </c>
      <c r="F43" s="16">
        <f t="shared" si="5"/>
        <v>27698.49</v>
      </c>
      <c r="G43" s="16">
        <f t="shared" si="5"/>
        <v>31462.489999999998</v>
      </c>
      <c r="H43" s="16">
        <f t="shared" si="5"/>
        <v>30539.179999999997</v>
      </c>
      <c r="I43" s="17">
        <f>SUM(I29:I41)</f>
        <v>22117.210000000003</v>
      </c>
      <c r="J43" s="17">
        <f t="shared" ref="J43:O43" si="6">SUM(J29:J41)</f>
        <v>38511.399999999994</v>
      </c>
      <c r="K43" s="17">
        <f t="shared" si="6"/>
        <v>79209.179999999993</v>
      </c>
      <c r="L43" s="17">
        <f t="shared" si="6"/>
        <v>76200</v>
      </c>
      <c r="M43" s="17">
        <f t="shared" si="6"/>
        <v>74476.069999999992</v>
      </c>
      <c r="N43" s="17">
        <f t="shared" si="6"/>
        <v>73700</v>
      </c>
      <c r="O43" s="91">
        <f t="shared" si="6"/>
        <v>134500</v>
      </c>
      <c r="P43" s="28">
        <f t="shared" si="0"/>
        <v>58300</v>
      </c>
    </row>
    <row r="44" spans="1:17" x14ac:dyDescent="0.25">
      <c r="B44" s="8"/>
      <c r="C44" s="16"/>
      <c r="D44" s="16"/>
      <c r="E44" s="5"/>
      <c r="F44" s="5"/>
      <c r="G44" s="5"/>
      <c r="H44" s="5"/>
      <c r="I44" s="28"/>
      <c r="J44" s="28"/>
      <c r="K44" s="28"/>
      <c r="L44" s="28"/>
      <c r="M44" s="28"/>
      <c r="N44" s="28"/>
      <c r="P44" s="28"/>
    </row>
    <row r="45" spans="1:17" x14ac:dyDescent="0.25">
      <c r="A45" s="1" t="s">
        <v>69</v>
      </c>
      <c r="B45" s="11"/>
      <c r="C45" s="17"/>
      <c r="D45" s="17"/>
      <c r="E45" s="20"/>
      <c r="F45" s="20"/>
      <c r="G45" s="20"/>
      <c r="H45" s="20"/>
      <c r="I45" s="28"/>
      <c r="J45" s="28"/>
      <c r="K45" s="28"/>
      <c r="L45" s="28"/>
      <c r="M45" s="28"/>
      <c r="N45" s="28"/>
      <c r="O45" s="20"/>
      <c r="P45" s="28"/>
    </row>
    <row r="46" spans="1:17" x14ac:dyDescent="0.25">
      <c r="A46" t="s">
        <v>134</v>
      </c>
      <c r="B46" s="11"/>
      <c r="C46" s="17"/>
      <c r="D46" s="17"/>
      <c r="E46" s="20"/>
      <c r="F46" s="20"/>
      <c r="G46" s="20"/>
      <c r="H46" s="20"/>
      <c r="I46" s="18">
        <v>4862.51</v>
      </c>
      <c r="J46" s="18">
        <v>3000</v>
      </c>
      <c r="K46" s="18">
        <v>0</v>
      </c>
      <c r="L46" s="18">
        <v>10000</v>
      </c>
      <c r="M46" s="20">
        <v>0</v>
      </c>
      <c r="N46" s="18">
        <v>0</v>
      </c>
      <c r="O46" s="78">
        <v>10000</v>
      </c>
      <c r="P46" s="28">
        <f t="shared" si="0"/>
        <v>0</v>
      </c>
      <c r="Q46" s="58" t="s">
        <v>108</v>
      </c>
    </row>
    <row r="47" spans="1:17" x14ac:dyDescent="0.25">
      <c r="A47" t="s">
        <v>72</v>
      </c>
      <c r="B47" s="9">
        <v>32000</v>
      </c>
      <c r="C47" s="18">
        <v>0</v>
      </c>
      <c r="D47" s="18">
        <v>0</v>
      </c>
      <c r="E47" s="20">
        <v>68489.149999999994</v>
      </c>
      <c r="F47" s="20">
        <v>32000</v>
      </c>
      <c r="G47" s="20">
        <v>32000</v>
      </c>
      <c r="H47" s="20">
        <v>32000</v>
      </c>
      <c r="I47" s="18">
        <v>32000</v>
      </c>
      <c r="J47" s="18">
        <v>32000</v>
      </c>
      <c r="K47" s="18">
        <v>32000</v>
      </c>
      <c r="L47" s="18">
        <v>32000</v>
      </c>
      <c r="M47" s="18">
        <v>32000</v>
      </c>
      <c r="N47" s="18">
        <v>32000</v>
      </c>
      <c r="O47" s="78">
        <v>32000</v>
      </c>
      <c r="P47" s="28">
        <f t="shared" si="0"/>
        <v>0</v>
      </c>
      <c r="Q47" s="58" t="s">
        <v>109</v>
      </c>
    </row>
    <row r="48" spans="1:17" x14ac:dyDescent="0.25">
      <c r="A48" t="s">
        <v>21</v>
      </c>
      <c r="B48" s="9">
        <v>10552.56</v>
      </c>
      <c r="C48" s="18">
        <v>0</v>
      </c>
      <c r="D48" s="18">
        <v>0</v>
      </c>
      <c r="E48" s="20">
        <v>0</v>
      </c>
      <c r="F48" s="20">
        <v>2750</v>
      </c>
      <c r="G48" s="20">
        <v>13915.49</v>
      </c>
      <c r="H48" s="20">
        <v>17552.560000000001</v>
      </c>
      <c r="I48" s="18">
        <v>15167.48</v>
      </c>
      <c r="J48" s="18">
        <v>3784.89</v>
      </c>
      <c r="K48" s="18">
        <v>8904.36</v>
      </c>
      <c r="L48" s="18">
        <v>20000</v>
      </c>
      <c r="M48" s="18">
        <v>3250.84</v>
      </c>
      <c r="N48" s="18">
        <v>6000</v>
      </c>
      <c r="O48" s="78">
        <v>10000</v>
      </c>
      <c r="P48" s="28">
        <f t="shared" si="0"/>
        <v>-10000</v>
      </c>
      <c r="Q48" s="21" t="s">
        <v>110</v>
      </c>
    </row>
    <row r="49" spans="1:17" x14ac:dyDescent="0.25">
      <c r="A49" t="s">
        <v>128</v>
      </c>
      <c r="B49" s="9"/>
      <c r="C49" s="18"/>
      <c r="D49" s="18"/>
      <c r="E49" s="20"/>
      <c r="F49" s="20"/>
      <c r="G49" s="20"/>
      <c r="H49" s="20"/>
      <c r="I49" s="65">
        <v>0</v>
      </c>
      <c r="J49" s="65">
        <v>0</v>
      </c>
      <c r="K49" s="65">
        <v>30000</v>
      </c>
      <c r="L49" s="18">
        <v>20000</v>
      </c>
      <c r="M49" s="20">
        <v>20000</v>
      </c>
      <c r="N49" s="18">
        <v>20000</v>
      </c>
      <c r="O49" s="78">
        <v>30000</v>
      </c>
      <c r="P49" s="28">
        <f t="shared" si="0"/>
        <v>10000</v>
      </c>
      <c r="Q49" s="21"/>
    </row>
    <row r="50" spans="1:17" x14ac:dyDescent="0.25">
      <c r="A50" t="s">
        <v>74</v>
      </c>
      <c r="B50" s="9"/>
      <c r="C50" s="18"/>
      <c r="D50" s="18"/>
      <c r="E50" s="20"/>
      <c r="F50" s="20"/>
      <c r="G50" s="20"/>
      <c r="H50" s="20"/>
      <c r="I50" s="18">
        <v>5125</v>
      </c>
      <c r="J50" s="20">
        <v>4325</v>
      </c>
      <c r="K50" s="65">
        <v>13325</v>
      </c>
      <c r="L50" s="18">
        <v>23125</v>
      </c>
      <c r="M50" s="20">
        <v>13325</v>
      </c>
      <c r="N50" s="20">
        <v>23125</v>
      </c>
      <c r="O50" s="78">
        <v>30000</v>
      </c>
      <c r="P50" s="28">
        <f t="shared" si="0"/>
        <v>6875</v>
      </c>
      <c r="Q50" s="58" t="s">
        <v>143</v>
      </c>
    </row>
    <row r="51" spans="1:17" x14ac:dyDescent="0.25">
      <c r="A51" t="s">
        <v>70</v>
      </c>
      <c r="B51" s="66"/>
      <c r="C51"/>
      <c r="D51" s="20"/>
      <c r="E51" s="20"/>
      <c r="F51" s="20"/>
      <c r="G51" s="20"/>
      <c r="H51" s="20"/>
      <c r="I51" s="20">
        <v>24000</v>
      </c>
      <c r="J51" s="20">
        <v>0</v>
      </c>
      <c r="K51" s="65">
        <v>3000</v>
      </c>
      <c r="L51" s="20">
        <v>7000</v>
      </c>
      <c r="M51" s="20">
        <v>0</v>
      </c>
      <c r="N51" s="20">
        <v>0</v>
      </c>
      <c r="O51" s="78">
        <v>7000</v>
      </c>
      <c r="P51" s="28">
        <f t="shared" si="0"/>
        <v>0</v>
      </c>
      <c r="Q51" s="58"/>
    </row>
    <row r="52" spans="1:17" x14ac:dyDescent="0.25">
      <c r="A52" t="s">
        <v>73</v>
      </c>
      <c r="B52" s="66"/>
      <c r="C52"/>
      <c r="D52" s="20"/>
      <c r="E52" s="20"/>
      <c r="F52" s="20"/>
      <c r="G52" s="20"/>
      <c r="H52" s="20"/>
      <c r="I52" s="20">
        <v>1356.71</v>
      </c>
      <c r="J52" s="20">
        <v>6891.62</v>
      </c>
      <c r="K52" s="65">
        <v>3132.83</v>
      </c>
      <c r="L52" s="20">
        <v>5000</v>
      </c>
      <c r="M52" s="20">
        <v>1283.4000000000001</v>
      </c>
      <c r="N52" s="20">
        <v>2500</v>
      </c>
      <c r="O52" s="78">
        <v>5000</v>
      </c>
      <c r="P52" s="28">
        <f t="shared" si="0"/>
        <v>0</v>
      </c>
      <c r="Q52" s="58"/>
    </row>
    <row r="53" spans="1:17" x14ac:dyDescent="0.25">
      <c r="B53" s="10"/>
      <c r="C53" s="19"/>
      <c r="D53" s="19"/>
      <c r="E53" s="5"/>
      <c r="F53" s="5"/>
      <c r="G53" s="5"/>
      <c r="H53" s="5"/>
      <c r="I53" s="28"/>
      <c r="J53" s="28"/>
      <c r="K53" s="28"/>
      <c r="L53" s="28"/>
      <c r="M53" s="28"/>
      <c r="N53" s="28"/>
      <c r="O53" s="80"/>
      <c r="P53" s="28">
        <f t="shared" si="0"/>
        <v>0</v>
      </c>
    </row>
    <row r="54" spans="1:17" x14ac:dyDescent="0.25">
      <c r="A54" t="s">
        <v>5</v>
      </c>
      <c r="B54" s="9">
        <f>SUM(B47:B53)</f>
        <v>42552.56</v>
      </c>
      <c r="C54" s="18"/>
      <c r="D54" s="17">
        <f>SUM(D47:D53)</f>
        <v>0</v>
      </c>
      <c r="E54" s="17">
        <f>SUM(E47:E53)</f>
        <v>68489.149999999994</v>
      </c>
      <c r="F54" s="17">
        <f>SUM(F47:F53)</f>
        <v>34750</v>
      </c>
      <c r="G54" s="17">
        <f>SUM(G47:G53)</f>
        <v>45915.49</v>
      </c>
      <c r="H54" s="17">
        <f>SUM(H47:H53)</f>
        <v>49552.56</v>
      </c>
      <c r="I54" s="16">
        <f>SUM(I46:I52)</f>
        <v>82511.700000000012</v>
      </c>
      <c r="J54" s="16">
        <f>SUM(J46:J52)</f>
        <v>50001.51</v>
      </c>
      <c r="K54" s="16">
        <f>SUM(K46:K52)</f>
        <v>90362.19</v>
      </c>
      <c r="L54" s="16">
        <f>SUM(L46:L52)</f>
        <v>117125</v>
      </c>
      <c r="M54" s="16">
        <f>SUM(M46:M52)</f>
        <v>69859.239999999991</v>
      </c>
      <c r="N54" s="17">
        <f>SUM(N44:N52)</f>
        <v>83625</v>
      </c>
      <c r="O54" s="38">
        <f>SUM(O46:O52)</f>
        <v>124000</v>
      </c>
      <c r="P54" s="28">
        <f t="shared" si="0"/>
        <v>6875</v>
      </c>
    </row>
    <row r="55" spans="1:17" x14ac:dyDescent="0.25">
      <c r="C55" s="5"/>
      <c r="D55" s="5"/>
      <c r="E55" s="5"/>
      <c r="F55" s="5"/>
      <c r="G55" s="5"/>
      <c r="H55" s="5"/>
      <c r="I55" s="28"/>
      <c r="J55" s="28"/>
      <c r="K55" s="28"/>
      <c r="L55" s="28"/>
      <c r="M55" s="28"/>
      <c r="N55" s="28"/>
      <c r="P55" s="28"/>
    </row>
    <row r="56" spans="1:17" ht="13.9" customHeight="1" x14ac:dyDescent="0.25">
      <c r="A56" s="4" t="s">
        <v>14</v>
      </c>
      <c r="C56" s="5"/>
      <c r="D56" s="5"/>
      <c r="E56" s="5"/>
      <c r="F56" s="5"/>
      <c r="G56" s="5"/>
      <c r="H56" s="5"/>
      <c r="I56" s="28"/>
      <c r="J56" s="28"/>
      <c r="K56" s="28"/>
      <c r="L56" s="28"/>
      <c r="M56" s="28"/>
      <c r="N56" s="28"/>
      <c r="P56" s="28"/>
    </row>
    <row r="57" spans="1:17" ht="29.25" customHeight="1" x14ac:dyDescent="0.25">
      <c r="A57" t="s">
        <v>15</v>
      </c>
      <c r="B57" s="13">
        <v>131685.16</v>
      </c>
      <c r="C57" s="14">
        <v>181768.69</v>
      </c>
      <c r="D57" s="14">
        <v>166190.04</v>
      </c>
      <c r="E57" s="5">
        <v>163640.01999999999</v>
      </c>
      <c r="F57" s="5">
        <v>167197.6</v>
      </c>
      <c r="G57" s="5">
        <v>169129.82</v>
      </c>
      <c r="H57" s="5">
        <v>210174.46</v>
      </c>
      <c r="I57" s="20">
        <v>225766.98</v>
      </c>
      <c r="J57" s="14">
        <v>234087.06</v>
      </c>
      <c r="K57" s="5">
        <v>254562.84</v>
      </c>
      <c r="L57" s="14">
        <v>268556.55</v>
      </c>
      <c r="M57" s="14">
        <v>229357.42</v>
      </c>
      <c r="N57" s="5">
        <v>268000</v>
      </c>
      <c r="O57" s="78">
        <v>286727.36</v>
      </c>
      <c r="P57" s="28">
        <f t="shared" si="0"/>
        <v>18170.809999999998</v>
      </c>
      <c r="Q57" s="58" t="s">
        <v>183</v>
      </c>
    </row>
    <row r="58" spans="1:17" x14ac:dyDescent="0.25">
      <c r="A58" s="27" t="s">
        <v>174</v>
      </c>
      <c r="B58" s="9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78">
        <v>90000</v>
      </c>
      <c r="P58" s="28">
        <f t="shared" si="0"/>
        <v>90000</v>
      </c>
      <c r="Q58" s="93" t="s">
        <v>169</v>
      </c>
    </row>
    <row r="59" spans="1:17" x14ac:dyDescent="0.25">
      <c r="A59" s="27" t="s">
        <v>164</v>
      </c>
      <c r="B59" s="92"/>
      <c r="C59" s="42"/>
      <c r="D59" s="42"/>
      <c r="E59" s="42"/>
      <c r="F59" s="42"/>
      <c r="G59" s="42"/>
      <c r="H59" s="42"/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2">
        <v>0</v>
      </c>
      <c r="O59" s="78">
        <v>45000</v>
      </c>
      <c r="P59" s="28">
        <f t="shared" si="0"/>
        <v>45000</v>
      </c>
      <c r="Q59" s="93" t="s">
        <v>169</v>
      </c>
    </row>
    <row r="60" spans="1:17" x14ac:dyDescent="0.25">
      <c r="A60" t="s">
        <v>16</v>
      </c>
      <c r="B60" s="3">
        <v>10070.709999999999</v>
      </c>
      <c r="C60" s="5">
        <v>13704.63</v>
      </c>
      <c r="D60" s="5">
        <v>12531.82</v>
      </c>
      <c r="E60" s="5">
        <v>12518.45</v>
      </c>
      <c r="F60" s="5">
        <v>12788.13</v>
      </c>
      <c r="G60" s="5">
        <v>12935.23</v>
      </c>
      <c r="H60" s="5">
        <v>16075.12</v>
      </c>
      <c r="I60" s="20">
        <v>17271.169999999998</v>
      </c>
      <c r="J60" s="5">
        <v>18007.13</v>
      </c>
      <c r="K60" s="5">
        <v>20200.810000000001</v>
      </c>
      <c r="L60" s="5">
        <v>23283.85</v>
      </c>
      <c r="M60" s="5">
        <v>18239.34</v>
      </c>
      <c r="N60" s="5">
        <v>23283.85</v>
      </c>
      <c r="O60" s="78">
        <v>36563.760000000002</v>
      </c>
      <c r="P60" s="28">
        <f t="shared" si="0"/>
        <v>13279.910000000003</v>
      </c>
      <c r="Q60" s="21" t="s">
        <v>111</v>
      </c>
    </row>
    <row r="61" spans="1:17" x14ac:dyDescent="0.25">
      <c r="C61" s="5"/>
      <c r="D61" s="5"/>
      <c r="E61" s="5"/>
      <c r="F61" s="5"/>
      <c r="G61" s="5"/>
      <c r="H61" s="5"/>
      <c r="I61" s="28"/>
      <c r="J61" s="28"/>
      <c r="K61" s="28"/>
      <c r="L61" s="28"/>
      <c r="M61" s="28"/>
      <c r="N61" s="28"/>
      <c r="P61" s="28">
        <f t="shared" si="0"/>
        <v>0</v>
      </c>
    </row>
    <row r="62" spans="1:17" x14ac:dyDescent="0.25">
      <c r="A62" t="s">
        <v>5</v>
      </c>
      <c r="B62" s="8">
        <f t="shared" ref="B62:I62" si="7">SUM(B57:B61)</f>
        <v>141755.87</v>
      </c>
      <c r="C62" s="16">
        <f t="shared" si="7"/>
        <v>195473.32</v>
      </c>
      <c r="D62" s="16">
        <f t="shared" si="7"/>
        <v>178721.86000000002</v>
      </c>
      <c r="E62" s="16">
        <f t="shared" si="7"/>
        <v>176158.47</v>
      </c>
      <c r="F62" s="16">
        <f t="shared" si="7"/>
        <v>179985.73</v>
      </c>
      <c r="G62" s="16">
        <f t="shared" si="7"/>
        <v>182065.05000000002</v>
      </c>
      <c r="H62" s="16">
        <f t="shared" si="7"/>
        <v>226249.58</v>
      </c>
      <c r="I62" s="17">
        <f t="shared" si="7"/>
        <v>243038.15000000002</v>
      </c>
      <c r="J62" s="17">
        <f>SUM(J57:J60)</f>
        <v>252094.19</v>
      </c>
      <c r="K62" s="16">
        <f>SUM(K57:K61)</f>
        <v>274763.65000000002</v>
      </c>
      <c r="L62" s="17">
        <f>SUM(L57:L61)</f>
        <v>291840.39999999997</v>
      </c>
      <c r="M62" s="17">
        <f>SUM(M57:M61)</f>
        <v>247596.76</v>
      </c>
      <c r="N62" s="17">
        <f>SUM(N57:N61)</f>
        <v>291283.84999999998</v>
      </c>
      <c r="O62" s="38">
        <f>SUM(O57:O60)</f>
        <v>458291.12</v>
      </c>
      <c r="P62" s="28">
        <f t="shared" si="0"/>
        <v>166450.72000000003</v>
      </c>
      <c r="Q62" s="28"/>
    </row>
    <row r="63" spans="1:17" x14ac:dyDescent="0.25">
      <c r="C63" s="5"/>
      <c r="D63" s="5"/>
      <c r="E63" s="5"/>
      <c r="F63" s="5"/>
      <c r="G63" s="5"/>
      <c r="H63" s="5"/>
      <c r="I63" s="28"/>
      <c r="J63" s="28"/>
      <c r="K63" s="28"/>
      <c r="L63" s="28"/>
      <c r="M63" s="28"/>
      <c r="N63" s="28"/>
      <c r="P63" s="28">
        <f t="shared" si="0"/>
        <v>0</v>
      </c>
    </row>
    <row r="64" spans="1:17" x14ac:dyDescent="0.25">
      <c r="A64" s="4" t="s">
        <v>17</v>
      </c>
      <c r="C64" s="5"/>
      <c r="D64" s="5"/>
      <c r="E64" s="5"/>
      <c r="F64" s="5"/>
      <c r="G64" s="5"/>
      <c r="H64" s="5"/>
      <c r="I64" s="28"/>
      <c r="J64" s="28"/>
      <c r="K64" s="28"/>
      <c r="L64" s="28"/>
      <c r="M64" s="28"/>
      <c r="N64" s="28"/>
      <c r="P64" s="28">
        <f t="shared" si="0"/>
        <v>0</v>
      </c>
    </row>
    <row r="65" spans="1:17" ht="18.600000000000001" customHeight="1" x14ac:dyDescent="0.25">
      <c r="A65" t="s">
        <v>18</v>
      </c>
      <c r="B65" s="3">
        <v>18203.52</v>
      </c>
      <c r="C65" s="5">
        <v>17886.57</v>
      </c>
      <c r="D65" s="5">
        <v>21748.95</v>
      </c>
      <c r="E65" s="5">
        <v>27821.279999999999</v>
      </c>
      <c r="F65" s="5">
        <v>21353.82</v>
      </c>
      <c r="G65" s="5">
        <v>22027.97</v>
      </c>
      <c r="H65" s="5">
        <v>25682.1</v>
      </c>
      <c r="I65" s="20">
        <v>32042.13</v>
      </c>
      <c r="J65" s="5">
        <v>34277.4</v>
      </c>
      <c r="K65" s="5">
        <v>35111.370000000003</v>
      </c>
      <c r="L65" s="5">
        <v>44545.32</v>
      </c>
      <c r="M65" s="5">
        <v>37121.1</v>
      </c>
      <c r="N65" s="5">
        <v>44545.32</v>
      </c>
      <c r="O65" s="78">
        <v>79323.600000000006</v>
      </c>
      <c r="P65" s="28">
        <f t="shared" si="0"/>
        <v>34778.280000000006</v>
      </c>
      <c r="Q65" t="s">
        <v>112</v>
      </c>
    </row>
    <row r="66" spans="1:17" ht="15" customHeight="1" x14ac:dyDescent="0.25">
      <c r="A66" t="s">
        <v>19</v>
      </c>
      <c r="B66" s="3">
        <v>16074.84</v>
      </c>
      <c r="C66" s="5">
        <v>0</v>
      </c>
      <c r="D66" s="5">
        <v>18718.88</v>
      </c>
      <c r="E66" s="5">
        <v>20274.37</v>
      </c>
      <c r="F66" s="5">
        <v>38101.019999999997</v>
      </c>
      <c r="G66" s="5">
        <v>23156.41</v>
      </c>
      <c r="H66" s="5">
        <v>25879.73</v>
      </c>
      <c r="I66" s="20">
        <v>27870.38</v>
      </c>
      <c r="J66" s="5">
        <v>32185.16</v>
      </c>
      <c r="K66" s="5">
        <v>37793.78</v>
      </c>
      <c r="L66" s="5">
        <v>37114.519999999997</v>
      </c>
      <c r="M66" s="5">
        <v>32917.43</v>
      </c>
      <c r="N66" s="5">
        <v>37114.519999999997</v>
      </c>
      <c r="O66" s="78">
        <v>58282.720000000001</v>
      </c>
      <c r="P66" s="28">
        <f t="shared" si="0"/>
        <v>21168.200000000004</v>
      </c>
      <c r="Q66" t="s">
        <v>129</v>
      </c>
    </row>
    <row r="67" spans="1:17" x14ac:dyDescent="0.25">
      <c r="I67" s="28"/>
      <c r="J67" s="28"/>
      <c r="K67" s="28"/>
      <c r="L67" s="28"/>
      <c r="M67" s="28"/>
      <c r="N67" s="28"/>
      <c r="P67" s="28">
        <f t="shared" si="0"/>
        <v>0</v>
      </c>
    </row>
    <row r="68" spans="1:17" x14ac:dyDescent="0.25">
      <c r="A68" t="s">
        <v>5</v>
      </c>
      <c r="B68" s="8">
        <f t="shared" ref="B68:O68" si="8">SUM(B65:B67)</f>
        <v>34278.36</v>
      </c>
      <c r="C68" s="16">
        <f t="shared" si="8"/>
        <v>17886.57</v>
      </c>
      <c r="D68" s="16">
        <f t="shared" si="8"/>
        <v>40467.83</v>
      </c>
      <c r="E68" s="16">
        <f t="shared" si="8"/>
        <v>48095.649999999994</v>
      </c>
      <c r="F68" s="16">
        <f t="shared" si="8"/>
        <v>59454.84</v>
      </c>
      <c r="G68" s="16">
        <f t="shared" si="8"/>
        <v>45184.380000000005</v>
      </c>
      <c r="H68" s="16">
        <f t="shared" si="8"/>
        <v>51561.83</v>
      </c>
      <c r="I68" s="16">
        <f t="shared" si="8"/>
        <v>59912.51</v>
      </c>
      <c r="J68" s="16">
        <f t="shared" si="8"/>
        <v>66462.559999999998</v>
      </c>
      <c r="K68" s="16">
        <f t="shared" ref="K68" si="9">SUM(K65:K67)</f>
        <v>72905.149999999994</v>
      </c>
      <c r="L68" s="17">
        <f>SUM(L65:L66)</f>
        <v>81659.839999999997</v>
      </c>
      <c r="M68" s="17">
        <f t="shared" ref="M68:N68" si="10">SUM(M65:M66)</f>
        <v>70038.53</v>
      </c>
      <c r="N68" s="17">
        <f t="shared" si="10"/>
        <v>81659.839999999997</v>
      </c>
      <c r="O68" s="38">
        <f t="shared" si="8"/>
        <v>137606.32</v>
      </c>
      <c r="P68" s="28">
        <f t="shared" si="0"/>
        <v>55946.48000000001</v>
      </c>
    </row>
    <row r="69" spans="1:17" x14ac:dyDescent="0.25">
      <c r="C69" s="5"/>
      <c r="D69" s="5"/>
      <c r="E69" s="5"/>
      <c r="F69" s="5"/>
      <c r="G69" s="5"/>
      <c r="H69" s="5"/>
      <c r="I69" s="28"/>
      <c r="J69" s="28"/>
      <c r="K69" s="28"/>
      <c r="L69" s="28"/>
      <c r="M69" s="28"/>
      <c r="N69" s="28"/>
      <c r="P69" s="28">
        <f t="shared" si="0"/>
        <v>0</v>
      </c>
    </row>
    <row r="70" spans="1:17" x14ac:dyDescent="0.25">
      <c r="A70" s="4" t="s">
        <v>20</v>
      </c>
      <c r="B70" s="8" t="e">
        <f>SUM(#REF!)</f>
        <v>#REF!</v>
      </c>
      <c r="C70" s="16">
        <v>426091.96</v>
      </c>
      <c r="D70" s="16">
        <v>467981.66</v>
      </c>
      <c r="E70" s="16">
        <v>571999.97</v>
      </c>
      <c r="F70" s="16">
        <v>535549.89</v>
      </c>
      <c r="G70" s="16">
        <v>695421.97</v>
      </c>
      <c r="H70" s="16">
        <v>918050.34</v>
      </c>
      <c r="I70" s="64">
        <f t="shared" ref="I70:O70" si="11">SUM(I68,I62,I54,I43,I26,I14)</f>
        <v>524800.29</v>
      </c>
      <c r="J70" s="64">
        <f t="shared" si="11"/>
        <v>541056.79</v>
      </c>
      <c r="K70" s="64">
        <f t="shared" si="11"/>
        <v>861699.42</v>
      </c>
      <c r="L70" s="64">
        <f t="shared" si="11"/>
        <v>882725.24</v>
      </c>
      <c r="M70" s="64">
        <f t="shared" si="11"/>
        <v>960515.84</v>
      </c>
      <c r="N70" s="64">
        <f t="shared" si="11"/>
        <v>1126068.69</v>
      </c>
      <c r="O70" s="38">
        <f t="shared" si="11"/>
        <v>1407197.44</v>
      </c>
      <c r="P70" s="39">
        <f t="shared" si="0"/>
        <v>524472.19999999995</v>
      </c>
    </row>
    <row r="72" spans="1:17" hidden="1" x14ac:dyDescent="0.25"/>
    <row r="74" spans="1:17" x14ac:dyDescent="0.25">
      <c r="A74" s="1"/>
      <c r="E74" s="5"/>
      <c r="F74" s="5"/>
      <c r="G74" s="5"/>
      <c r="H74" s="5"/>
    </row>
    <row r="75" spans="1:17" x14ac:dyDescent="0.25">
      <c r="A75" s="22"/>
      <c r="P75" s="28"/>
    </row>
    <row r="76" spans="1:17" x14ac:dyDescent="0.25">
      <c r="A76" s="36" t="s">
        <v>162</v>
      </c>
    </row>
    <row r="77" spans="1:17" x14ac:dyDescent="0.25">
      <c r="A77" s="2"/>
    </row>
    <row r="78" spans="1:17" x14ac:dyDescent="0.25">
      <c r="A78" t="s">
        <v>163</v>
      </c>
      <c r="O78" s="42">
        <v>100000</v>
      </c>
    </row>
    <row r="79" spans="1:17" ht="15.75" customHeight="1" x14ac:dyDescent="0.25">
      <c r="A79" s="6" t="s">
        <v>188</v>
      </c>
      <c r="B79" s="12"/>
      <c r="C79" s="12"/>
      <c r="D79" s="12"/>
      <c r="O79" s="42">
        <v>25000</v>
      </c>
    </row>
    <row r="80" spans="1:17" ht="15.75" customHeight="1" x14ac:dyDescent="0.25">
      <c r="A80" s="4"/>
      <c r="B80" s="12"/>
      <c r="C80" s="12"/>
      <c r="D80" s="12"/>
    </row>
    <row r="81" spans="1:4" x14ac:dyDescent="0.25">
      <c r="A81" s="95" t="s">
        <v>184</v>
      </c>
      <c r="B81" s="8"/>
      <c r="C81" s="10">
        <v>20000</v>
      </c>
      <c r="D81" s="8"/>
    </row>
    <row r="82" spans="1:4" x14ac:dyDescent="0.25">
      <c r="C82" s="3">
        <v>62000</v>
      </c>
    </row>
    <row r="83" spans="1:4" x14ac:dyDescent="0.25">
      <c r="C83" s="3">
        <v>68500</v>
      </c>
    </row>
    <row r="84" spans="1:4" x14ac:dyDescent="0.25">
      <c r="C84" s="3">
        <v>130000</v>
      </c>
    </row>
    <row r="85" spans="1:4" x14ac:dyDescent="0.25">
      <c r="C85" s="3">
        <v>25000</v>
      </c>
    </row>
    <row r="87" spans="1:4" x14ac:dyDescent="0.25">
      <c r="C87" s="3" t="s">
        <v>44</v>
      </c>
    </row>
  </sheetData>
  <pageMargins left="0.7" right="0.7" top="0.5" bottom="0.75" header="0.3" footer="0.3"/>
  <pageSetup paperSize="5" scale="62" fitToHeight="0" orientation="landscape" cellComments="atEnd" r:id="rId1"/>
  <ignoredErrors>
    <ignoredError sqref="B43 B70 J62 N54 J14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44"/>
  <sheetViews>
    <sheetView zoomScale="120" zoomScaleNormal="120" workbookViewId="0">
      <selection activeCell="L37" sqref="L37"/>
    </sheetView>
  </sheetViews>
  <sheetFormatPr defaultRowHeight="15" x14ac:dyDescent="0.25"/>
  <cols>
    <col min="1" max="1" width="11.42578125" customWidth="1"/>
    <col min="2" max="2" width="13.7109375" customWidth="1"/>
    <col min="3" max="3" width="14.7109375" customWidth="1"/>
    <col min="5" max="5" width="14" customWidth="1"/>
    <col min="6" max="6" width="11.85546875" customWidth="1"/>
    <col min="7" max="7" width="14.85546875" customWidth="1"/>
    <col min="8" max="8" width="7.7109375" customWidth="1"/>
    <col min="9" max="9" width="11.28515625" customWidth="1"/>
    <col min="10" max="10" width="12.140625" customWidth="1"/>
  </cols>
  <sheetData>
    <row r="1" spans="1:10" ht="30" x14ac:dyDescent="0.25">
      <c r="A1" s="22" t="s">
        <v>40</v>
      </c>
      <c r="B1" s="22" t="s">
        <v>41</v>
      </c>
      <c r="D1" s="26" t="s">
        <v>66</v>
      </c>
    </row>
    <row r="3" spans="1:10" x14ac:dyDescent="0.25">
      <c r="A3" s="40">
        <v>40114</v>
      </c>
      <c r="B3" s="28">
        <f>SUM(A3*15.0706088)</f>
        <v>604542.4014032</v>
      </c>
      <c r="D3">
        <v>4.6249999999999999E-2</v>
      </c>
      <c r="E3" t="s">
        <v>30</v>
      </c>
    </row>
    <row r="4" spans="1:10" x14ac:dyDescent="0.25">
      <c r="A4" s="40">
        <v>91958.35</v>
      </c>
      <c r="B4" s="28">
        <f>SUM(A4*0.1875)</f>
        <v>17242.190625000003</v>
      </c>
      <c r="D4">
        <v>0.1875</v>
      </c>
      <c r="E4" t="s">
        <v>38</v>
      </c>
      <c r="J4" s="28"/>
    </row>
    <row r="5" spans="1:10" x14ac:dyDescent="0.25">
      <c r="A5" s="40">
        <v>15662.36</v>
      </c>
      <c r="B5" s="28">
        <f>SUM(A5*0.1875)</f>
        <v>2936.6925000000001</v>
      </c>
      <c r="D5">
        <v>0.1875</v>
      </c>
      <c r="E5" t="s">
        <v>31</v>
      </c>
      <c r="J5" s="28"/>
    </row>
    <row r="6" spans="1:10" x14ac:dyDescent="0.25">
      <c r="A6" s="40">
        <v>4870.25</v>
      </c>
      <c r="B6" s="5">
        <f>SUM(A6*0.2931)</f>
        <v>1427.4702750000001</v>
      </c>
      <c r="D6">
        <v>0.29310000000000003</v>
      </c>
      <c r="E6" t="s">
        <v>32</v>
      </c>
    </row>
    <row r="7" spans="1:10" x14ac:dyDescent="0.25">
      <c r="B7" s="28"/>
    </row>
    <row r="8" spans="1:10" x14ac:dyDescent="0.25">
      <c r="A8" t="s">
        <v>33</v>
      </c>
    </row>
    <row r="9" spans="1:10" x14ac:dyDescent="0.25">
      <c r="A9" t="s">
        <v>52</v>
      </c>
    </row>
    <row r="10" spans="1:10" x14ac:dyDescent="0.25">
      <c r="A10" t="s">
        <v>49</v>
      </c>
    </row>
    <row r="11" spans="1:10" x14ac:dyDescent="0.25">
      <c r="A11" t="s">
        <v>57</v>
      </c>
    </row>
    <row r="12" spans="1:10" x14ac:dyDescent="0.25">
      <c r="A12" s="27" t="s">
        <v>50</v>
      </c>
      <c r="B12" s="27"/>
      <c r="C12" s="27"/>
      <c r="D12" s="27"/>
      <c r="E12" s="27"/>
      <c r="F12" s="27"/>
    </row>
    <row r="13" spans="1:10" x14ac:dyDescent="0.25">
      <c r="A13" s="27" t="s">
        <v>51</v>
      </c>
      <c r="B13" s="27"/>
      <c r="C13" s="27"/>
      <c r="D13" s="27"/>
      <c r="E13" s="27"/>
      <c r="F13" s="27"/>
    </row>
    <row r="15" spans="1:10" ht="30" x14ac:dyDescent="0.25">
      <c r="A15" t="s">
        <v>34</v>
      </c>
      <c r="B15" s="26" t="s">
        <v>35</v>
      </c>
      <c r="C15" s="22" t="s">
        <v>36</v>
      </c>
      <c r="E15" s="26" t="s">
        <v>53</v>
      </c>
    </row>
    <row r="16" spans="1:10" x14ac:dyDescent="0.25">
      <c r="B16" s="21"/>
      <c r="C16" s="22"/>
    </row>
    <row r="17" spans="1:6" x14ac:dyDescent="0.25">
      <c r="A17" s="22">
        <v>0</v>
      </c>
      <c r="B17" s="5">
        <v>604542.4014032</v>
      </c>
      <c r="C17" s="24">
        <v>4.6249999999999999E-2</v>
      </c>
      <c r="E17" s="5">
        <v>0</v>
      </c>
      <c r="F17" s="25"/>
    </row>
    <row r="18" spans="1:6" x14ac:dyDescent="0.25">
      <c r="A18" s="22">
        <v>1</v>
      </c>
      <c r="B18" s="5">
        <f>SUM(604542.4*1.01)</f>
        <v>610587.82400000002</v>
      </c>
      <c r="C18" s="24">
        <f>SUM(B18/13071187.014)</f>
        <v>4.6712500046554688E-2</v>
      </c>
      <c r="E18" s="28">
        <f>SUM(B18-604542.4)</f>
        <v>6045.4239999999991</v>
      </c>
      <c r="F18" s="24"/>
    </row>
    <row r="19" spans="1:6" x14ac:dyDescent="0.25">
      <c r="A19" s="22">
        <v>2</v>
      </c>
      <c r="B19" s="5">
        <f>SUM(604542.4*1.02)</f>
        <v>616633.24800000002</v>
      </c>
      <c r="C19" s="24">
        <f t="shared" ref="C19:C44" si="0">SUM(B19/13071187.014)</f>
        <v>4.7175000047015622E-2</v>
      </c>
      <c r="E19" s="28">
        <f>SUM(B19-604542.4)</f>
        <v>12090.847999999998</v>
      </c>
      <c r="F19" s="24"/>
    </row>
    <row r="20" spans="1:6" x14ac:dyDescent="0.25">
      <c r="A20" s="22">
        <v>3</v>
      </c>
      <c r="B20" s="5">
        <f>SUM(604542.4*1.03)</f>
        <v>622678.67200000002</v>
      </c>
      <c r="C20" s="24">
        <f t="shared" si="0"/>
        <v>4.7637500047476564E-2</v>
      </c>
      <c r="E20" s="28">
        <f t="shared" ref="E20:E44" si="1">SUM(B20-604542.4)</f>
        <v>18136.271999999997</v>
      </c>
      <c r="F20" s="24"/>
    </row>
    <row r="21" spans="1:6" x14ac:dyDescent="0.25">
      <c r="A21" s="22">
        <v>4</v>
      </c>
      <c r="B21" s="5">
        <f>SUM(604542.4*1.04)</f>
        <v>628724.09600000002</v>
      </c>
      <c r="C21" s="24">
        <f t="shared" si="0"/>
        <v>4.8100000047937498E-2</v>
      </c>
      <c r="E21" s="28">
        <f t="shared" si="1"/>
        <v>24181.695999999996</v>
      </c>
      <c r="F21" s="24"/>
    </row>
    <row r="22" spans="1:6" x14ac:dyDescent="0.25">
      <c r="A22" s="22">
        <v>5</v>
      </c>
      <c r="B22" s="5">
        <f>SUM(604542.4*1.05)</f>
        <v>634769.52</v>
      </c>
      <c r="C22" s="24">
        <f t="shared" si="0"/>
        <v>4.8562500048398433E-2</v>
      </c>
      <c r="E22" s="28">
        <f t="shared" si="1"/>
        <v>30227.119999999995</v>
      </c>
      <c r="F22" s="24"/>
    </row>
    <row r="23" spans="1:6" x14ac:dyDescent="0.25">
      <c r="A23" s="22">
        <v>6</v>
      </c>
      <c r="B23" s="5">
        <f>SUM(604542.4*1.06)</f>
        <v>640814.94400000002</v>
      </c>
      <c r="C23" s="24">
        <f t="shared" si="0"/>
        <v>4.9025000048859374E-2</v>
      </c>
      <c r="E23" s="28">
        <f t="shared" si="1"/>
        <v>36272.543999999994</v>
      </c>
      <c r="F23" s="24"/>
    </row>
    <row r="24" spans="1:6" x14ac:dyDescent="0.25">
      <c r="A24" s="22" t="s">
        <v>44</v>
      </c>
      <c r="B24" s="5">
        <f>SUM(604542.4*1.07)</f>
        <v>646860.36800000002</v>
      </c>
      <c r="C24" s="24">
        <f t="shared" si="0"/>
        <v>4.9487500049320308E-2</v>
      </c>
      <c r="E24" s="28">
        <f t="shared" si="1"/>
        <v>42317.967999999993</v>
      </c>
      <c r="F24" s="24"/>
    </row>
    <row r="25" spans="1:6" x14ac:dyDescent="0.25">
      <c r="A25" s="22">
        <v>8</v>
      </c>
      <c r="B25" s="5">
        <f>SUM(604542.4*1.08)</f>
        <v>652905.79200000002</v>
      </c>
      <c r="C25" s="24">
        <f t="shared" si="0"/>
        <v>4.995000004978125E-2</v>
      </c>
      <c r="E25" s="28">
        <f t="shared" si="1"/>
        <v>48363.391999999993</v>
      </c>
      <c r="F25" s="24"/>
    </row>
    <row r="26" spans="1:6" x14ac:dyDescent="0.25">
      <c r="A26" s="22">
        <v>9</v>
      </c>
      <c r="B26" s="5">
        <f>SUM(604542.4*1.09)</f>
        <v>658951.21600000013</v>
      </c>
      <c r="C26" s="24">
        <f t="shared" si="0"/>
        <v>5.0412500050242191E-2</v>
      </c>
      <c r="E26" s="28">
        <f t="shared" si="1"/>
        <v>54408.816000000108</v>
      </c>
      <c r="F26" s="24"/>
    </row>
    <row r="27" spans="1:6" x14ac:dyDescent="0.25">
      <c r="A27" s="22">
        <v>10</v>
      </c>
      <c r="B27" s="5">
        <f>SUM(604542.4*1.1)</f>
        <v>664996.64000000013</v>
      </c>
      <c r="C27" s="24">
        <f t="shared" si="0"/>
        <v>5.0875000050703133E-2</v>
      </c>
      <c r="E27" s="28">
        <f t="shared" si="1"/>
        <v>60454.240000000107</v>
      </c>
    </row>
    <row r="28" spans="1:6" x14ac:dyDescent="0.25">
      <c r="A28" s="22">
        <v>11</v>
      </c>
      <c r="B28" s="5">
        <f>SUM(604542.4*1.11)</f>
        <v>671042.06400000013</v>
      </c>
      <c r="C28" s="24">
        <f t="shared" si="0"/>
        <v>5.1337500051164067E-2</v>
      </c>
      <c r="E28" s="28">
        <f t="shared" si="1"/>
        <v>66499.664000000106</v>
      </c>
    </row>
    <row r="29" spans="1:6" x14ac:dyDescent="0.25">
      <c r="A29" s="22">
        <v>12</v>
      </c>
      <c r="B29" s="5">
        <f>SUM(604542.4*1.12)</f>
        <v>677087.48800000013</v>
      </c>
      <c r="C29" s="24">
        <f t="shared" si="0"/>
        <v>5.1800000051625009E-2</v>
      </c>
      <c r="E29" s="28">
        <f t="shared" si="1"/>
        <v>72545.088000000105</v>
      </c>
    </row>
    <row r="30" spans="1:6" x14ac:dyDescent="0.25">
      <c r="A30" s="22">
        <v>13</v>
      </c>
      <c r="B30" s="5">
        <f>SUM(604542.4*1.13)</f>
        <v>683132.91200000001</v>
      </c>
      <c r="C30" s="24">
        <f t="shared" si="0"/>
        <v>5.2262500052085936E-2</v>
      </c>
      <c r="E30" s="28">
        <f t="shared" si="1"/>
        <v>78590.511999999988</v>
      </c>
    </row>
    <row r="31" spans="1:6" x14ac:dyDescent="0.25">
      <c r="A31" s="22">
        <v>14</v>
      </c>
      <c r="B31" s="5">
        <f>SUM(604542.4*1.14)</f>
        <v>689178.33600000001</v>
      </c>
      <c r="C31" s="24">
        <f t="shared" si="0"/>
        <v>5.2725000052546871E-2</v>
      </c>
      <c r="E31" s="28">
        <f t="shared" si="1"/>
        <v>84635.935999999987</v>
      </c>
    </row>
    <row r="32" spans="1:6" x14ac:dyDescent="0.25">
      <c r="A32" s="22">
        <v>15</v>
      </c>
      <c r="B32" s="5">
        <f>SUM(604542.4*1.15)</f>
        <v>695223.76</v>
      </c>
      <c r="C32" s="24">
        <f t="shared" si="0"/>
        <v>5.3187500053007812E-2</v>
      </c>
      <c r="E32" s="28">
        <f t="shared" si="1"/>
        <v>90681.359999999986</v>
      </c>
    </row>
    <row r="33" spans="1:30" x14ac:dyDescent="0.25">
      <c r="A33" s="22">
        <v>16</v>
      </c>
      <c r="B33" s="5">
        <f>SUM(604542.4*1.16)</f>
        <v>701269.18400000001</v>
      </c>
      <c r="C33" s="24">
        <f t="shared" si="0"/>
        <v>5.3650000053468747E-2</v>
      </c>
      <c r="E33" s="28">
        <f t="shared" si="1"/>
        <v>96726.783999999985</v>
      </c>
    </row>
    <row r="34" spans="1:30" x14ac:dyDescent="0.25">
      <c r="A34" s="22">
        <v>17</v>
      </c>
      <c r="B34" s="5">
        <f>SUM(604542.4*1.17)</f>
        <v>707314.60800000001</v>
      </c>
      <c r="C34" s="24">
        <f t="shared" si="0"/>
        <v>5.4112500053929681E-2</v>
      </c>
      <c r="E34" s="28">
        <f t="shared" si="1"/>
        <v>102772.20799999998</v>
      </c>
    </row>
    <row r="35" spans="1:30" x14ac:dyDescent="0.25">
      <c r="A35" s="22">
        <v>18</v>
      </c>
      <c r="B35" s="5">
        <f>SUM(604542.4*1.18)</f>
        <v>713360.03200000001</v>
      </c>
      <c r="C35" s="24">
        <f t="shared" si="0"/>
        <v>5.4575000054390622E-2</v>
      </c>
      <c r="E35" s="28">
        <f t="shared" si="1"/>
        <v>108817.63199999998</v>
      </c>
    </row>
    <row r="36" spans="1:30" x14ac:dyDescent="0.25">
      <c r="A36" s="22">
        <v>19</v>
      </c>
      <c r="B36" s="5">
        <f>SUM(604542.4*1.19)</f>
        <v>719405.45600000001</v>
      </c>
      <c r="C36" s="24">
        <f t="shared" si="0"/>
        <v>5.5037500054851557E-2</v>
      </c>
      <c r="E36" s="28">
        <f t="shared" si="1"/>
        <v>114863.05599999998</v>
      </c>
    </row>
    <row r="37" spans="1:30" x14ac:dyDescent="0.25">
      <c r="A37" s="22">
        <v>20</v>
      </c>
      <c r="B37" s="5">
        <f>SUM(604542.4*1.2)</f>
        <v>725450.88</v>
      </c>
      <c r="C37" s="24">
        <f t="shared" si="0"/>
        <v>5.5500000055312498E-2</v>
      </c>
      <c r="E37" s="28">
        <f t="shared" si="1"/>
        <v>120908.47999999998</v>
      </c>
    </row>
    <row r="38" spans="1:30" x14ac:dyDescent="0.25">
      <c r="A38" s="22">
        <v>21</v>
      </c>
      <c r="B38" s="5">
        <f>SUM(604542.4*1.21)</f>
        <v>731496.304</v>
      </c>
      <c r="C38" s="24">
        <f t="shared" si="0"/>
        <v>5.5962500055773433E-2</v>
      </c>
      <c r="E38" s="28">
        <f t="shared" si="1"/>
        <v>126953.90399999998</v>
      </c>
    </row>
    <row r="39" spans="1:30" x14ac:dyDescent="0.25">
      <c r="A39" s="22">
        <v>22</v>
      </c>
      <c r="B39" s="5">
        <f>SUM(604542.4*1.22)</f>
        <v>737541.728</v>
      </c>
      <c r="C39" s="24">
        <f t="shared" si="0"/>
        <v>5.6425000056234374E-2</v>
      </c>
      <c r="E39" s="28">
        <f t="shared" si="1"/>
        <v>132999.32799999998</v>
      </c>
    </row>
    <row r="40" spans="1:30" x14ac:dyDescent="0.25">
      <c r="A40" s="22">
        <v>23</v>
      </c>
      <c r="B40" s="5">
        <f>SUM(604542.4*1.23)</f>
        <v>743587.152</v>
      </c>
      <c r="C40" s="24">
        <f t="shared" si="0"/>
        <v>5.6887500056695309E-2</v>
      </c>
      <c r="E40" s="28">
        <f t="shared" si="1"/>
        <v>139044.75199999998</v>
      </c>
    </row>
    <row r="41" spans="1:30" x14ac:dyDescent="0.25">
      <c r="A41" s="22">
        <v>24</v>
      </c>
      <c r="B41" s="5">
        <f>SUM(604542.4*1.24)</f>
        <v>749632.576</v>
      </c>
      <c r="C41" s="24">
        <f t="shared" si="0"/>
        <v>5.7350000057156243E-2</v>
      </c>
      <c r="E41" s="28">
        <f t="shared" si="1"/>
        <v>145090.17599999998</v>
      </c>
    </row>
    <row r="42" spans="1:30" x14ac:dyDescent="0.25">
      <c r="A42" s="41">
        <v>25</v>
      </c>
      <c r="B42" s="42">
        <f>SUM(604542.4*1.25)</f>
        <v>755678</v>
      </c>
      <c r="C42" s="43">
        <f t="shared" si="0"/>
        <v>5.7812500057617185E-2</v>
      </c>
      <c r="D42" s="27"/>
      <c r="E42" s="39">
        <f t="shared" si="1"/>
        <v>151135.59999999998</v>
      </c>
      <c r="F42" t="s">
        <v>54</v>
      </c>
    </row>
    <row r="43" spans="1:30" x14ac:dyDescent="0.25">
      <c r="A43" s="22">
        <v>26</v>
      </c>
      <c r="B43" s="5">
        <f>SUM(604542.4*1.26)</f>
        <v>761723.424</v>
      </c>
      <c r="C43" s="24">
        <f t="shared" si="0"/>
        <v>5.8275000058078119E-2</v>
      </c>
      <c r="E43" s="28">
        <f t="shared" si="1"/>
        <v>157181.02399999998</v>
      </c>
    </row>
    <row r="44" spans="1:30" x14ac:dyDescent="0.25">
      <c r="A44" s="22">
        <v>27</v>
      </c>
      <c r="B44" s="5">
        <f>SUM(604542.4*1.27)</f>
        <v>767768.848</v>
      </c>
      <c r="C44" s="24">
        <f t="shared" si="0"/>
        <v>5.8737500058539061E-2</v>
      </c>
      <c r="E44" s="28">
        <f t="shared" si="1"/>
        <v>163226.44799999997</v>
      </c>
    </row>
    <row r="45" spans="1:30" x14ac:dyDescent="0.25">
      <c r="AD45">
        <f>AE45</f>
        <v>0</v>
      </c>
    </row>
    <row r="46" spans="1:30" x14ac:dyDescent="0.25">
      <c r="A46" s="25" t="s">
        <v>55</v>
      </c>
      <c r="C46" s="28"/>
    </row>
    <row r="47" spans="1:30" x14ac:dyDescent="0.25">
      <c r="A47" s="25"/>
      <c r="C47" s="28"/>
    </row>
    <row r="48" spans="1:30" x14ac:dyDescent="0.25">
      <c r="A48" s="22"/>
      <c r="B48" s="5"/>
    </row>
    <row r="49" spans="1:9" x14ac:dyDescent="0.25">
      <c r="A49" s="6" t="s">
        <v>37</v>
      </c>
    </row>
    <row r="50" spans="1:9" x14ac:dyDescent="0.25">
      <c r="A50" t="s">
        <v>45</v>
      </c>
    </row>
    <row r="51" spans="1:9" x14ac:dyDescent="0.25">
      <c r="A51" s="6" t="s">
        <v>39</v>
      </c>
    </row>
    <row r="52" spans="1:9" x14ac:dyDescent="0.25">
      <c r="A52" t="s">
        <v>56</v>
      </c>
    </row>
    <row r="53" spans="1:9" x14ac:dyDescent="0.25">
      <c r="A53" t="s">
        <v>57</v>
      </c>
    </row>
    <row r="54" spans="1:9" x14ac:dyDescent="0.25">
      <c r="A54" s="27" t="s">
        <v>58</v>
      </c>
      <c r="B54" s="27"/>
      <c r="C54" s="27"/>
      <c r="D54" s="27"/>
      <c r="E54" s="27"/>
      <c r="F54" s="27"/>
      <c r="G54" s="27"/>
      <c r="H54" s="27"/>
      <c r="I54" s="27"/>
    </row>
    <row r="55" spans="1:9" x14ac:dyDescent="0.25">
      <c r="A55" s="27" t="s">
        <v>59</v>
      </c>
      <c r="B55" s="27"/>
      <c r="C55" s="27"/>
    </row>
    <row r="56" spans="1:9" x14ac:dyDescent="0.25">
      <c r="A56" s="22"/>
    </row>
    <row r="57" spans="1:9" ht="45" x14ac:dyDescent="0.25">
      <c r="A57" t="s">
        <v>34</v>
      </c>
      <c r="B57" s="26" t="s">
        <v>65</v>
      </c>
      <c r="C57" s="22" t="s">
        <v>36</v>
      </c>
      <c r="E57" s="26" t="s">
        <v>53</v>
      </c>
      <c r="F57" s="26"/>
      <c r="G57" s="22"/>
      <c r="I57" s="26"/>
    </row>
    <row r="58" spans="1:9" x14ac:dyDescent="0.25">
      <c r="B58" s="21"/>
      <c r="C58" s="22"/>
    </row>
    <row r="59" spans="1:9" x14ac:dyDescent="0.25">
      <c r="A59" s="22">
        <v>0</v>
      </c>
      <c r="B59" s="5">
        <v>20178.883125</v>
      </c>
      <c r="C59" s="23">
        <v>0.1875</v>
      </c>
      <c r="E59" s="31">
        <v>0</v>
      </c>
      <c r="F59" s="5"/>
      <c r="G59" s="23"/>
      <c r="I59" s="28"/>
    </row>
    <row r="60" spans="1:9" x14ac:dyDescent="0.25">
      <c r="A60" s="22">
        <v>1</v>
      </c>
      <c r="B60" s="5">
        <f>SUM(20178.88*1.01)</f>
        <v>20380.668799999999</v>
      </c>
      <c r="C60" s="25">
        <f>SUM(B60/107620.71)</f>
        <v>0.18937497067246628</v>
      </c>
      <c r="E60" s="44">
        <f>SUM(B60-20178.88)</f>
        <v>201.78879999999845</v>
      </c>
      <c r="F60" s="5"/>
      <c r="G60" s="25"/>
      <c r="I60" s="28"/>
    </row>
    <row r="61" spans="1:9" x14ac:dyDescent="0.25">
      <c r="A61" s="22">
        <v>2</v>
      </c>
      <c r="B61" s="5">
        <f>SUM(20178.88*1.02)</f>
        <v>20582.457600000002</v>
      </c>
      <c r="C61" s="25">
        <f t="shared" ref="C61:C90" si="2">SUM(B61/107620.71)</f>
        <v>0.19124997038209468</v>
      </c>
      <c r="E61" s="44">
        <f t="shared" ref="E61:E90" si="3">SUM(B61-20178.88)</f>
        <v>403.57760000000053</v>
      </c>
      <c r="F61" s="5"/>
      <c r="G61" s="25"/>
      <c r="I61" s="28"/>
    </row>
    <row r="62" spans="1:9" x14ac:dyDescent="0.25">
      <c r="A62" s="22">
        <v>3</v>
      </c>
      <c r="B62" s="5">
        <f>SUM(20178.88*1.03)</f>
        <v>20784.2464</v>
      </c>
      <c r="C62" s="25">
        <f t="shared" si="2"/>
        <v>0.19312497009172305</v>
      </c>
      <c r="E62" s="44">
        <f t="shared" si="3"/>
        <v>605.36639999999898</v>
      </c>
      <c r="F62" s="5"/>
      <c r="G62" s="25"/>
      <c r="I62" s="28"/>
    </row>
    <row r="63" spans="1:9" x14ac:dyDescent="0.25">
      <c r="A63" s="22">
        <v>4</v>
      </c>
      <c r="B63" s="5">
        <f>SUM(20178.88*1.04)</f>
        <v>20986.035200000002</v>
      </c>
      <c r="C63" s="25">
        <f t="shared" si="2"/>
        <v>0.19499996980135145</v>
      </c>
      <c r="E63" s="44">
        <f t="shared" si="3"/>
        <v>807.15520000000106</v>
      </c>
      <c r="F63" s="5"/>
      <c r="G63" s="25"/>
      <c r="I63" s="28"/>
    </row>
    <row r="64" spans="1:9" x14ac:dyDescent="0.25">
      <c r="A64" s="22">
        <v>5</v>
      </c>
      <c r="B64" s="5">
        <f>SUM(20178.88*1.05)</f>
        <v>21187.824000000001</v>
      </c>
      <c r="C64" s="25">
        <f t="shared" si="2"/>
        <v>0.1968749695109798</v>
      </c>
      <c r="E64" s="44">
        <f t="shared" si="3"/>
        <v>1008.9439999999995</v>
      </c>
      <c r="F64" s="5"/>
      <c r="G64" s="25"/>
      <c r="I64" s="28"/>
    </row>
    <row r="65" spans="1:9" x14ac:dyDescent="0.25">
      <c r="A65" s="22">
        <v>6</v>
      </c>
      <c r="B65" s="5">
        <f>SUM(20178.88*1.06)</f>
        <v>21389.612800000003</v>
      </c>
      <c r="C65" s="25">
        <f t="shared" si="2"/>
        <v>0.1987499692206082</v>
      </c>
      <c r="E65" s="44">
        <f t="shared" si="3"/>
        <v>1210.7328000000016</v>
      </c>
      <c r="F65" s="5"/>
      <c r="G65" s="25"/>
      <c r="I65" s="28"/>
    </row>
    <row r="66" spans="1:9" x14ac:dyDescent="0.25">
      <c r="A66" s="22">
        <v>7</v>
      </c>
      <c r="B66" s="5">
        <f>SUM(20178.88*1.07)</f>
        <v>21591.401600000001</v>
      </c>
      <c r="C66" s="25">
        <f t="shared" si="2"/>
        <v>0.20062496893023657</v>
      </c>
      <c r="E66" s="44">
        <f t="shared" si="3"/>
        <v>1412.5216</v>
      </c>
      <c r="F66" s="5"/>
      <c r="G66" s="25"/>
      <c r="I66" s="28"/>
    </row>
    <row r="67" spans="1:9" x14ac:dyDescent="0.25">
      <c r="A67" s="22">
        <v>8</v>
      </c>
      <c r="B67" s="5">
        <f>SUM(20178.88*1.08)</f>
        <v>21793.190400000003</v>
      </c>
      <c r="C67" s="25">
        <f t="shared" si="2"/>
        <v>0.20249996863986497</v>
      </c>
      <c r="E67" s="44">
        <f t="shared" si="3"/>
        <v>1614.3104000000021</v>
      </c>
      <c r="F67" s="5"/>
      <c r="G67" s="25"/>
      <c r="I67" s="28"/>
    </row>
    <row r="68" spans="1:9" x14ac:dyDescent="0.25">
      <c r="A68" s="22">
        <v>9</v>
      </c>
      <c r="B68" s="5">
        <f>SUM(20178.88*1.09)</f>
        <v>21994.979200000002</v>
      </c>
      <c r="C68" s="25">
        <f t="shared" si="2"/>
        <v>0.20437496834949334</v>
      </c>
      <c r="E68" s="44">
        <f t="shared" si="3"/>
        <v>1816.0992000000006</v>
      </c>
      <c r="F68" s="5"/>
      <c r="G68" s="25"/>
      <c r="I68" s="28"/>
    </row>
    <row r="69" spans="1:9" x14ac:dyDescent="0.25">
      <c r="A69" s="22">
        <v>10</v>
      </c>
      <c r="B69" s="5">
        <f>SUM(20178.88*1.1)</f>
        <v>22196.768000000004</v>
      </c>
      <c r="C69" s="25">
        <f t="shared" si="2"/>
        <v>0.20624996805912174</v>
      </c>
      <c r="E69" s="44">
        <f t="shared" si="3"/>
        <v>2017.8880000000026</v>
      </c>
      <c r="F69" s="5"/>
      <c r="G69" s="25"/>
      <c r="I69" s="28"/>
    </row>
    <row r="70" spans="1:9" x14ac:dyDescent="0.25">
      <c r="A70" s="22">
        <v>11</v>
      </c>
      <c r="B70" s="5">
        <f>SUM(20178.88*1.11)</f>
        <v>22398.556800000002</v>
      </c>
      <c r="C70" s="25">
        <f t="shared" si="2"/>
        <v>0.20812496776875009</v>
      </c>
      <c r="E70" s="44">
        <f t="shared" si="3"/>
        <v>2219.6768000000011</v>
      </c>
      <c r="F70" s="5"/>
      <c r="G70" s="25"/>
      <c r="I70" s="28"/>
    </row>
    <row r="71" spans="1:9" x14ac:dyDescent="0.25">
      <c r="A71" s="22">
        <v>12</v>
      </c>
      <c r="B71" s="5">
        <f>SUM(20178.88*1.12)</f>
        <v>22600.345600000004</v>
      </c>
      <c r="C71" s="25">
        <f t="shared" si="2"/>
        <v>0.20999996747837849</v>
      </c>
      <c r="E71" s="44">
        <f t="shared" si="3"/>
        <v>2421.4656000000032</v>
      </c>
      <c r="F71" s="5"/>
      <c r="G71" s="25"/>
      <c r="I71" s="28"/>
    </row>
    <row r="72" spans="1:9" x14ac:dyDescent="0.25">
      <c r="A72" s="22">
        <v>13</v>
      </c>
      <c r="B72" s="5">
        <f>SUM(20178.88*1.13)</f>
        <v>22802.134399999999</v>
      </c>
      <c r="C72" s="25">
        <f t="shared" si="2"/>
        <v>0.21187496718800683</v>
      </c>
      <c r="E72" s="44">
        <f t="shared" si="3"/>
        <v>2623.254399999998</v>
      </c>
      <c r="F72" s="5"/>
      <c r="G72" s="25"/>
      <c r="I72" s="28"/>
    </row>
    <row r="73" spans="1:9" x14ac:dyDescent="0.25">
      <c r="A73" s="22">
        <v>14</v>
      </c>
      <c r="B73" s="5">
        <f>SUM(20178.88*1.14)</f>
        <v>23003.923199999997</v>
      </c>
      <c r="C73" s="25">
        <f t="shared" si="2"/>
        <v>0.21374996689763517</v>
      </c>
      <c r="E73" s="44">
        <f>SUM(B73-20178.88)</f>
        <v>2825.0431999999964</v>
      </c>
      <c r="F73" s="5"/>
      <c r="G73" s="25"/>
      <c r="I73" s="28"/>
    </row>
    <row r="74" spans="1:9" x14ac:dyDescent="0.25">
      <c r="A74" s="22">
        <v>15</v>
      </c>
      <c r="B74" s="5">
        <f>SUM(20178.88*1.15)</f>
        <v>23205.712</v>
      </c>
      <c r="C74" s="25">
        <f t="shared" si="2"/>
        <v>0.21562496660726357</v>
      </c>
      <c r="E74" s="44">
        <f t="shared" si="3"/>
        <v>3026.8319999999985</v>
      </c>
      <c r="F74" s="5"/>
      <c r="G74" s="25"/>
      <c r="I74" s="28"/>
    </row>
    <row r="75" spans="1:9" x14ac:dyDescent="0.25">
      <c r="A75" s="22">
        <v>16</v>
      </c>
      <c r="B75" s="5">
        <f>SUM(20178.88*1.16)</f>
        <v>23407.500799999998</v>
      </c>
      <c r="C75" s="25">
        <f t="shared" si="2"/>
        <v>0.21749996631689195</v>
      </c>
      <c r="E75" s="44">
        <f t="shared" si="3"/>
        <v>3228.620799999997</v>
      </c>
      <c r="F75" s="5"/>
      <c r="G75" s="25"/>
      <c r="I75" s="28"/>
    </row>
    <row r="76" spans="1:9" x14ac:dyDescent="0.25">
      <c r="A76" s="22">
        <v>17</v>
      </c>
      <c r="B76" s="5">
        <f>SUM(20178.88*1.17)</f>
        <v>23609.2896</v>
      </c>
      <c r="C76" s="25">
        <f t="shared" si="2"/>
        <v>0.21937496602652035</v>
      </c>
      <c r="E76" s="44">
        <f t="shared" si="3"/>
        <v>3430.409599999999</v>
      </c>
      <c r="F76" s="5"/>
      <c r="G76" s="25"/>
      <c r="I76" s="28"/>
    </row>
    <row r="77" spans="1:9" x14ac:dyDescent="0.25">
      <c r="A77" s="22">
        <v>18</v>
      </c>
      <c r="B77" s="5">
        <f>SUM(20178.88*1.18)</f>
        <v>23811.078399999999</v>
      </c>
      <c r="C77" s="25">
        <f t="shared" si="2"/>
        <v>0.22124996573614872</v>
      </c>
      <c r="E77" s="44">
        <f t="shared" si="3"/>
        <v>3632.1983999999975</v>
      </c>
      <c r="F77" s="5"/>
      <c r="G77" s="25"/>
      <c r="I77" s="28"/>
    </row>
    <row r="78" spans="1:9" x14ac:dyDescent="0.25">
      <c r="A78" s="22">
        <v>19</v>
      </c>
      <c r="B78" s="5">
        <f>SUM(20178.88*1.19)</f>
        <v>24012.867200000001</v>
      </c>
      <c r="C78" s="25">
        <f t="shared" si="2"/>
        <v>0.22312496544577712</v>
      </c>
      <c r="E78" s="44">
        <f t="shared" si="3"/>
        <v>3833.9871999999996</v>
      </c>
      <c r="F78" s="5"/>
      <c r="G78" s="25"/>
      <c r="I78" s="28"/>
    </row>
    <row r="79" spans="1:9" x14ac:dyDescent="0.25">
      <c r="A79" s="22">
        <v>20</v>
      </c>
      <c r="B79" s="5">
        <f>SUM(20178.88*1.2)</f>
        <v>24214.655999999999</v>
      </c>
      <c r="C79" s="25">
        <f t="shared" si="2"/>
        <v>0.22499996515540546</v>
      </c>
      <c r="E79" s="44">
        <f t="shared" si="3"/>
        <v>4035.775999999998</v>
      </c>
      <c r="F79" s="5"/>
      <c r="G79" s="25"/>
      <c r="I79" s="28"/>
    </row>
    <row r="80" spans="1:9" x14ac:dyDescent="0.25">
      <c r="A80" s="22">
        <v>21</v>
      </c>
      <c r="B80" s="5">
        <f>SUM(20178.88*1.21)</f>
        <v>24416.444800000001</v>
      </c>
      <c r="C80" s="25">
        <f t="shared" si="2"/>
        <v>0.22687496486503386</v>
      </c>
      <c r="E80" s="44">
        <f t="shared" si="3"/>
        <v>4237.5648000000001</v>
      </c>
      <c r="F80" s="5"/>
      <c r="G80" s="25"/>
      <c r="I80" s="28"/>
    </row>
    <row r="81" spans="1:9" x14ac:dyDescent="0.25">
      <c r="A81" s="22">
        <v>22</v>
      </c>
      <c r="B81" s="5">
        <f>SUM(20178.88*1.22)</f>
        <v>24618.2336</v>
      </c>
      <c r="C81" s="25">
        <f t="shared" si="2"/>
        <v>0.22874996457466223</v>
      </c>
      <c r="E81" s="44">
        <f t="shared" si="3"/>
        <v>4439.3535999999986</v>
      </c>
    </row>
    <row r="82" spans="1:9" x14ac:dyDescent="0.25">
      <c r="A82" s="22">
        <v>23</v>
      </c>
      <c r="B82" s="5">
        <f>SUM(20178.88*1.23)</f>
        <v>24820.022400000002</v>
      </c>
      <c r="C82" s="25">
        <f t="shared" si="2"/>
        <v>0.23062496428429063</v>
      </c>
      <c r="E82" s="44">
        <f t="shared" si="3"/>
        <v>4641.1424000000006</v>
      </c>
      <c r="F82" s="5"/>
      <c r="G82" s="25"/>
      <c r="I82" s="28"/>
    </row>
    <row r="83" spans="1:9" x14ac:dyDescent="0.25">
      <c r="A83" s="22">
        <v>24</v>
      </c>
      <c r="B83" s="5">
        <f>SUM(20178.88*1.24)</f>
        <v>25021.8112</v>
      </c>
      <c r="C83" s="25">
        <f t="shared" si="2"/>
        <v>0.23249996399391901</v>
      </c>
      <c r="E83" s="44">
        <f>SUM(B83-20178.88)</f>
        <v>4842.9311999999991</v>
      </c>
      <c r="F83" s="5"/>
      <c r="G83" s="25"/>
      <c r="I83" s="28"/>
    </row>
    <row r="84" spans="1:9" x14ac:dyDescent="0.25">
      <c r="A84" s="22">
        <v>25</v>
      </c>
      <c r="B84" s="5">
        <f>SUM(20178.88*1.25)</f>
        <v>25223.600000000002</v>
      </c>
      <c r="C84" s="25">
        <f t="shared" si="2"/>
        <v>0.23437496370354741</v>
      </c>
      <c r="E84" s="44">
        <f t="shared" si="3"/>
        <v>5044.7200000000012</v>
      </c>
      <c r="F84" s="5"/>
      <c r="G84" s="25"/>
      <c r="I84" s="28"/>
    </row>
    <row r="85" spans="1:9" x14ac:dyDescent="0.25">
      <c r="A85" s="22">
        <v>26</v>
      </c>
      <c r="B85" s="5">
        <f>SUM(20178.88*1.26)</f>
        <v>25425.388800000001</v>
      </c>
      <c r="C85" s="25">
        <f t="shared" si="2"/>
        <v>0.23624996341317575</v>
      </c>
      <c r="E85" s="44">
        <f t="shared" si="3"/>
        <v>5246.5087999999996</v>
      </c>
      <c r="F85" s="5"/>
      <c r="G85" s="25"/>
      <c r="I85" s="28"/>
    </row>
    <row r="86" spans="1:9" x14ac:dyDescent="0.25">
      <c r="A86" s="22">
        <v>27</v>
      </c>
      <c r="B86" s="5">
        <f>SUM(20178.88*1.27)</f>
        <v>25627.177600000003</v>
      </c>
      <c r="C86" s="25">
        <f t="shared" si="2"/>
        <v>0.23812496312280415</v>
      </c>
      <c r="E86" s="44">
        <f t="shared" si="3"/>
        <v>5448.2976000000017</v>
      </c>
      <c r="F86" s="5"/>
      <c r="G86" s="25"/>
      <c r="I86" s="28"/>
    </row>
    <row r="87" spans="1:9" x14ac:dyDescent="0.25">
      <c r="A87" s="22">
        <v>33</v>
      </c>
      <c r="B87" s="5">
        <f>SUM(20178.88*1.33)</f>
        <v>26837.910400000004</v>
      </c>
      <c r="C87" s="25">
        <f t="shared" si="2"/>
        <v>0.24937496138057444</v>
      </c>
      <c r="E87" s="44">
        <f t="shared" si="3"/>
        <v>6659.0304000000033</v>
      </c>
      <c r="F87" s="5"/>
      <c r="G87" s="25"/>
      <c r="I87" s="28"/>
    </row>
    <row r="88" spans="1:9" x14ac:dyDescent="0.25">
      <c r="A88" s="22">
        <v>50</v>
      </c>
      <c r="B88" s="5">
        <f>SUM(20178.88*1.5)</f>
        <v>30268.32</v>
      </c>
      <c r="C88" s="25">
        <f t="shared" si="2"/>
        <v>0.28124995644425688</v>
      </c>
      <c r="E88" s="44">
        <f t="shared" si="3"/>
        <v>10089.439999999999</v>
      </c>
      <c r="F88" s="5"/>
      <c r="G88" s="25"/>
      <c r="I88" s="28"/>
    </row>
    <row r="89" spans="1:9" x14ac:dyDescent="0.25">
      <c r="A89" s="22">
        <v>75</v>
      </c>
      <c r="B89" s="5">
        <f>SUM(20178.88*1.75)</f>
        <v>35313.040000000001</v>
      </c>
      <c r="C89" s="25">
        <f t="shared" si="2"/>
        <v>0.32812494918496632</v>
      </c>
      <c r="E89" s="44">
        <f t="shared" si="3"/>
        <v>15134.16</v>
      </c>
    </row>
    <row r="90" spans="1:9" x14ac:dyDescent="0.25">
      <c r="A90" s="41">
        <v>81</v>
      </c>
      <c r="B90" s="42">
        <f>SUM(20178.88*1.81)</f>
        <v>36523.772800000006</v>
      </c>
      <c r="C90" s="45">
        <f t="shared" si="2"/>
        <v>0.33937494744273666</v>
      </c>
      <c r="D90" s="27"/>
      <c r="E90" s="46">
        <f t="shared" si="3"/>
        <v>16344.892800000005</v>
      </c>
      <c r="F90" t="s">
        <v>54</v>
      </c>
    </row>
    <row r="92" spans="1:9" x14ac:dyDescent="0.25">
      <c r="A92" s="47" t="s">
        <v>60</v>
      </c>
      <c r="C92" s="28"/>
    </row>
    <row r="93" spans="1:9" x14ac:dyDescent="0.25">
      <c r="A93" s="22"/>
      <c r="B93" s="5"/>
      <c r="C93" s="25"/>
      <c r="E93" s="22"/>
      <c r="F93" s="5"/>
      <c r="G93" s="25"/>
      <c r="H93" s="25"/>
      <c r="I93" s="28"/>
    </row>
    <row r="95" spans="1:9" x14ac:dyDescent="0.25">
      <c r="A95" s="6" t="s">
        <v>46</v>
      </c>
    </row>
    <row r="96" spans="1:9" x14ac:dyDescent="0.25">
      <c r="A96" t="s">
        <v>42</v>
      </c>
    </row>
    <row r="97" spans="1:5" x14ac:dyDescent="0.25">
      <c r="A97" t="s">
        <v>61</v>
      </c>
    </row>
    <row r="98" spans="1:5" x14ac:dyDescent="0.25">
      <c r="A98" t="s">
        <v>57</v>
      </c>
    </row>
    <row r="99" spans="1:5" x14ac:dyDescent="0.25">
      <c r="A99" t="s">
        <v>62</v>
      </c>
    </row>
    <row r="100" spans="1:5" x14ac:dyDescent="0.25">
      <c r="A100" s="27" t="s">
        <v>63</v>
      </c>
      <c r="B100" s="27"/>
      <c r="C100" s="27"/>
    </row>
    <row r="101" spans="1:5" x14ac:dyDescent="0.25">
      <c r="A101" s="22"/>
    </row>
    <row r="102" spans="1:5" x14ac:dyDescent="0.25">
      <c r="A102" s="22"/>
    </row>
    <row r="103" spans="1:5" ht="30" x14ac:dyDescent="0.25">
      <c r="A103" t="s">
        <v>34</v>
      </c>
      <c r="B103" s="26" t="s">
        <v>35</v>
      </c>
      <c r="C103" s="22" t="s">
        <v>36</v>
      </c>
      <c r="E103" s="26" t="s">
        <v>53</v>
      </c>
    </row>
    <row r="104" spans="1:5" x14ac:dyDescent="0.25">
      <c r="B104" s="21"/>
      <c r="C104" s="22"/>
    </row>
    <row r="105" spans="1:5" x14ac:dyDescent="0.25">
      <c r="A105" s="22">
        <v>0</v>
      </c>
      <c r="B105" s="5">
        <v>1427.47</v>
      </c>
      <c r="C105" s="23">
        <v>0.29310000000000003</v>
      </c>
      <c r="E105" s="5">
        <v>0</v>
      </c>
    </row>
    <row r="106" spans="1:5" x14ac:dyDescent="0.25">
      <c r="A106" s="22">
        <v>1</v>
      </c>
      <c r="B106" s="5">
        <f>SUM(1427.47*1.01)</f>
        <v>1441.7447</v>
      </c>
      <c r="C106" s="25">
        <f>SUM(C105+0.0025)</f>
        <v>0.29560000000000003</v>
      </c>
      <c r="E106" s="48">
        <f>SUM(B106/4870.25)</f>
        <v>0.29603094297007337</v>
      </c>
    </row>
    <row r="107" spans="1:5" x14ac:dyDescent="0.25">
      <c r="A107" s="22">
        <v>2</v>
      </c>
      <c r="B107" s="5">
        <f>SUM(1427.47*1.02)</f>
        <v>1456.0194000000001</v>
      </c>
      <c r="C107" s="25">
        <f t="shared" ref="C107:C138" si="4">SUM(C106+0.0025)</f>
        <v>0.29810000000000003</v>
      </c>
      <c r="E107" s="48">
        <f t="shared" ref="E107:E138" si="5">SUM(B107/4870.25)</f>
        <v>0.29896194240542068</v>
      </c>
    </row>
    <row r="108" spans="1:5" x14ac:dyDescent="0.25">
      <c r="A108" s="22">
        <v>3</v>
      </c>
      <c r="B108" s="5">
        <f>SUM(1427.47*1.03)</f>
        <v>1470.2941000000001</v>
      </c>
      <c r="C108" s="25">
        <f t="shared" si="4"/>
        <v>0.30060000000000003</v>
      </c>
      <c r="E108" s="48">
        <f t="shared" si="5"/>
        <v>0.30189294184076793</v>
      </c>
    </row>
    <row r="109" spans="1:5" x14ac:dyDescent="0.25">
      <c r="A109" s="22">
        <v>4</v>
      </c>
      <c r="B109" s="5">
        <f>SUM(1427.47*1.04)</f>
        <v>1484.5688</v>
      </c>
      <c r="C109" s="25">
        <f t="shared" si="4"/>
        <v>0.30310000000000004</v>
      </c>
      <c r="E109" s="48">
        <f t="shared" si="5"/>
        <v>0.30482394127611517</v>
      </c>
    </row>
    <row r="110" spans="1:5" x14ac:dyDescent="0.25">
      <c r="A110" s="22">
        <v>5</v>
      </c>
      <c r="B110" s="5">
        <f>SUM(1427.47*1.05)</f>
        <v>1498.8435000000002</v>
      </c>
      <c r="C110" s="25">
        <f t="shared" si="4"/>
        <v>0.30560000000000004</v>
      </c>
      <c r="E110" s="48">
        <f t="shared" si="5"/>
        <v>0.30775494071146248</v>
      </c>
    </row>
    <row r="111" spans="1:5" x14ac:dyDescent="0.25">
      <c r="A111" s="22">
        <v>6</v>
      </c>
      <c r="B111" s="5">
        <f>SUM(1427.47*1.06)</f>
        <v>1513.1182000000001</v>
      </c>
      <c r="C111" s="25">
        <f t="shared" si="4"/>
        <v>0.30810000000000004</v>
      </c>
      <c r="E111" s="48">
        <f t="shared" si="5"/>
        <v>0.31068594014680972</v>
      </c>
    </row>
    <row r="112" spans="1:5" x14ac:dyDescent="0.25">
      <c r="A112" s="22">
        <v>7</v>
      </c>
      <c r="B112" s="5">
        <f>SUM(1427.47*1.07)</f>
        <v>1527.3929000000001</v>
      </c>
      <c r="C112" s="25">
        <f t="shared" si="4"/>
        <v>0.31060000000000004</v>
      </c>
      <c r="E112" s="48">
        <f t="shared" si="5"/>
        <v>0.31361693958215697</v>
      </c>
    </row>
    <row r="113" spans="1:6" x14ac:dyDescent="0.25">
      <c r="A113" s="22">
        <v>8</v>
      </c>
      <c r="B113" s="5">
        <f>SUM(1427.47*1.08)</f>
        <v>1541.6676000000002</v>
      </c>
      <c r="C113" s="25">
        <f t="shared" si="4"/>
        <v>0.31310000000000004</v>
      </c>
      <c r="E113" s="48">
        <f t="shared" si="5"/>
        <v>0.31654793901750428</v>
      </c>
    </row>
    <row r="114" spans="1:6" x14ac:dyDescent="0.25">
      <c r="A114" s="22">
        <v>9</v>
      </c>
      <c r="B114" s="5">
        <f>SUM(1427.47*1.09)</f>
        <v>1555.9423000000002</v>
      </c>
      <c r="C114" s="25">
        <f t="shared" si="4"/>
        <v>0.31560000000000005</v>
      </c>
      <c r="E114" s="48">
        <f t="shared" si="5"/>
        <v>0.31947893845285152</v>
      </c>
    </row>
    <row r="115" spans="1:6" x14ac:dyDescent="0.25">
      <c r="A115" s="22">
        <v>10</v>
      </c>
      <c r="B115" s="5">
        <f>SUM(1427.47*1.1)</f>
        <v>1570.2170000000001</v>
      </c>
      <c r="C115" s="25">
        <f t="shared" si="4"/>
        <v>0.31810000000000005</v>
      </c>
      <c r="E115" s="48">
        <f t="shared" si="5"/>
        <v>0.32240993788819877</v>
      </c>
    </row>
    <row r="116" spans="1:6" x14ac:dyDescent="0.25">
      <c r="A116" s="22">
        <v>11</v>
      </c>
      <c r="B116" s="5">
        <f>SUM(1427.47*1.11)</f>
        <v>1584.4917000000003</v>
      </c>
      <c r="C116" s="25">
        <f t="shared" si="4"/>
        <v>0.32060000000000005</v>
      </c>
      <c r="E116" s="48">
        <f t="shared" si="5"/>
        <v>0.32534093732354608</v>
      </c>
    </row>
    <row r="117" spans="1:6" x14ac:dyDescent="0.25">
      <c r="A117" s="22">
        <v>12</v>
      </c>
      <c r="B117" s="5">
        <f>SUM(1427.47*1.12)</f>
        <v>1598.7664000000002</v>
      </c>
      <c r="C117" s="25">
        <f t="shared" si="4"/>
        <v>0.32310000000000005</v>
      </c>
      <c r="E117" s="48">
        <f t="shared" si="5"/>
        <v>0.32827193675889332</v>
      </c>
    </row>
    <row r="118" spans="1:6" x14ac:dyDescent="0.25">
      <c r="A118" s="22">
        <v>13</v>
      </c>
      <c r="B118" s="5">
        <f>SUM(1427.47*1.13)</f>
        <v>1613.0410999999999</v>
      </c>
      <c r="C118" s="25">
        <f t="shared" si="4"/>
        <v>0.32560000000000006</v>
      </c>
      <c r="E118" s="48">
        <f t="shared" si="5"/>
        <v>0.33120293619424052</v>
      </c>
    </row>
    <row r="119" spans="1:6" x14ac:dyDescent="0.25">
      <c r="A119" s="22">
        <v>14</v>
      </c>
      <c r="B119" s="5">
        <f>SUM(1427.47*1.14)</f>
        <v>1627.3157999999999</v>
      </c>
      <c r="C119" s="25">
        <f t="shared" si="4"/>
        <v>0.32810000000000006</v>
      </c>
      <c r="E119" s="48">
        <f t="shared" si="5"/>
        <v>0.33413393562958776</v>
      </c>
    </row>
    <row r="120" spans="1:6" x14ac:dyDescent="0.25">
      <c r="A120" s="22">
        <v>15</v>
      </c>
      <c r="B120" s="5">
        <f>SUM(1427.47*1.15)</f>
        <v>1641.5904999999998</v>
      </c>
      <c r="C120" s="25">
        <f t="shared" si="4"/>
        <v>0.33060000000000006</v>
      </c>
      <c r="E120" s="48">
        <f t="shared" si="5"/>
        <v>0.33706493506493501</v>
      </c>
    </row>
    <row r="121" spans="1:6" x14ac:dyDescent="0.25">
      <c r="A121" s="41">
        <v>16</v>
      </c>
      <c r="B121" s="42">
        <f>SUM(1427.47*1.16)</f>
        <v>1655.8652</v>
      </c>
      <c r="C121" s="45">
        <f t="shared" si="4"/>
        <v>0.33310000000000006</v>
      </c>
      <c r="D121" s="27"/>
      <c r="E121" s="49">
        <f t="shared" si="5"/>
        <v>0.33999593450028232</v>
      </c>
      <c r="F121" t="s">
        <v>54</v>
      </c>
    </row>
    <row r="122" spans="1:6" x14ac:dyDescent="0.25">
      <c r="A122" s="22">
        <v>17</v>
      </c>
      <c r="B122" s="5">
        <f>SUM(1427.47*1.17)</f>
        <v>1670.1398999999999</v>
      </c>
      <c r="C122" s="25">
        <f t="shared" si="4"/>
        <v>0.33560000000000006</v>
      </c>
      <c r="E122" s="48">
        <f t="shared" si="5"/>
        <v>0.34292693393562956</v>
      </c>
    </row>
    <row r="123" spans="1:6" x14ac:dyDescent="0.25">
      <c r="A123" s="22">
        <v>18</v>
      </c>
      <c r="B123" s="5">
        <f>SUM(1427.47*1.18)</f>
        <v>1684.4145999999998</v>
      </c>
      <c r="C123" s="25">
        <f>SUM(C122+0.0025)</f>
        <v>0.33810000000000007</v>
      </c>
      <c r="E123" s="48">
        <f t="shared" si="5"/>
        <v>0.34585793337097681</v>
      </c>
    </row>
    <row r="124" spans="1:6" x14ac:dyDescent="0.25">
      <c r="A124" s="22">
        <v>19</v>
      </c>
      <c r="B124" s="5">
        <f>SUM(1427.47*1.19)</f>
        <v>1698.6893</v>
      </c>
      <c r="C124" s="25">
        <f t="shared" si="4"/>
        <v>0.34060000000000007</v>
      </c>
      <c r="E124" s="48">
        <f t="shared" si="5"/>
        <v>0.34878893280632411</v>
      </c>
    </row>
    <row r="125" spans="1:6" x14ac:dyDescent="0.25">
      <c r="A125" s="22">
        <v>20</v>
      </c>
      <c r="B125" s="5">
        <f>SUM(1427.47*1.2)</f>
        <v>1712.9639999999999</v>
      </c>
      <c r="C125" s="25">
        <f t="shared" si="4"/>
        <v>0.34310000000000007</v>
      </c>
      <c r="E125" s="48">
        <f t="shared" si="5"/>
        <v>0.35171993224167136</v>
      </c>
    </row>
    <row r="126" spans="1:6" x14ac:dyDescent="0.25">
      <c r="A126" s="22">
        <v>21</v>
      </c>
      <c r="B126" s="5">
        <f>SUM(1427.47*1.21)</f>
        <v>1727.2386999999999</v>
      </c>
      <c r="C126" s="25">
        <f t="shared" si="4"/>
        <v>0.34560000000000007</v>
      </c>
      <c r="E126" s="48">
        <f t="shared" si="5"/>
        <v>0.35465093167701861</v>
      </c>
    </row>
    <row r="127" spans="1:6" x14ac:dyDescent="0.25">
      <c r="A127" s="22">
        <v>22</v>
      </c>
      <c r="B127" s="5">
        <f>SUM(1427.47*1.22)</f>
        <v>1741.5134</v>
      </c>
      <c r="C127" s="25">
        <f t="shared" si="4"/>
        <v>0.34810000000000008</v>
      </c>
      <c r="E127" s="48">
        <f t="shared" si="5"/>
        <v>0.35758193111236591</v>
      </c>
    </row>
    <row r="128" spans="1:6" x14ac:dyDescent="0.25">
      <c r="A128" s="22">
        <v>23</v>
      </c>
      <c r="B128" s="5">
        <f>SUM(1427.47*1.23)</f>
        <v>1755.7881</v>
      </c>
      <c r="C128" s="25">
        <f t="shared" si="4"/>
        <v>0.35060000000000008</v>
      </c>
      <c r="E128" s="48">
        <f t="shared" si="5"/>
        <v>0.36051293054771316</v>
      </c>
    </row>
    <row r="129" spans="1:5" x14ac:dyDescent="0.25">
      <c r="A129" s="22">
        <v>24</v>
      </c>
      <c r="B129" s="5">
        <f>SUM(1427.47*1.24)</f>
        <v>1770.0627999999999</v>
      </c>
      <c r="C129" s="25">
        <f t="shared" si="4"/>
        <v>0.35310000000000008</v>
      </c>
      <c r="E129" s="48">
        <f t="shared" si="5"/>
        <v>0.36344392998306041</v>
      </c>
    </row>
    <row r="130" spans="1:5" x14ac:dyDescent="0.25">
      <c r="A130" s="22">
        <v>25</v>
      </c>
      <c r="B130" s="5">
        <f>SUM(1427.47*1.25)</f>
        <v>1784.3375000000001</v>
      </c>
      <c r="C130" s="25">
        <f>SUM(C129+0.0025)</f>
        <v>0.35560000000000008</v>
      </c>
      <c r="E130" s="48">
        <f t="shared" si="5"/>
        <v>0.36637492941840771</v>
      </c>
    </row>
    <row r="131" spans="1:5" x14ac:dyDescent="0.25">
      <c r="A131" s="22">
        <v>26</v>
      </c>
      <c r="B131" s="5">
        <f>SUM(1427.47*1.26)</f>
        <v>1798.6122</v>
      </c>
      <c r="C131" s="25">
        <f t="shared" si="4"/>
        <v>0.35810000000000008</v>
      </c>
      <c r="E131" s="48">
        <f t="shared" si="5"/>
        <v>0.36930592885375496</v>
      </c>
    </row>
    <row r="132" spans="1:5" x14ac:dyDescent="0.25">
      <c r="A132" s="22">
        <v>27</v>
      </c>
      <c r="B132" s="5">
        <f>SUM(1427.47*1.27)</f>
        <v>1812.8869</v>
      </c>
      <c r="C132" s="25">
        <f t="shared" si="4"/>
        <v>0.36060000000000009</v>
      </c>
      <c r="E132" s="48">
        <f t="shared" si="5"/>
        <v>0.37223692828910221</v>
      </c>
    </row>
    <row r="133" spans="1:5" x14ac:dyDescent="0.25">
      <c r="A133" s="22">
        <v>28</v>
      </c>
      <c r="B133" s="5">
        <f>SUM(1427.47*1.28)</f>
        <v>1827.1616000000001</v>
      </c>
      <c r="C133" s="25">
        <f t="shared" si="4"/>
        <v>0.36310000000000009</v>
      </c>
      <c r="E133" s="48">
        <f t="shared" si="5"/>
        <v>0.37516792772444951</v>
      </c>
    </row>
    <row r="134" spans="1:5" x14ac:dyDescent="0.25">
      <c r="A134" s="22">
        <v>29</v>
      </c>
      <c r="B134" s="5">
        <f>SUM(1427.47*1.29)</f>
        <v>1841.4363000000001</v>
      </c>
      <c r="C134" s="25">
        <f t="shared" si="4"/>
        <v>0.36560000000000009</v>
      </c>
      <c r="E134" s="48">
        <f t="shared" si="5"/>
        <v>0.37809892715979676</v>
      </c>
    </row>
    <row r="135" spans="1:5" x14ac:dyDescent="0.25">
      <c r="A135" s="22">
        <v>30</v>
      </c>
      <c r="B135" s="5">
        <f>SUM(1427.47*1.3)</f>
        <v>1855.711</v>
      </c>
      <c r="C135" s="25">
        <f t="shared" si="4"/>
        <v>0.36810000000000009</v>
      </c>
      <c r="E135" s="48">
        <f t="shared" si="5"/>
        <v>0.38102992659514401</v>
      </c>
    </row>
    <row r="136" spans="1:5" x14ac:dyDescent="0.25">
      <c r="A136" s="22">
        <v>31</v>
      </c>
      <c r="B136" s="5">
        <f>SUM(1427.47*1.31)</f>
        <v>1869.9857000000002</v>
      </c>
      <c r="C136" s="25">
        <f t="shared" si="4"/>
        <v>0.3706000000000001</v>
      </c>
      <c r="E136" s="48">
        <f t="shared" si="5"/>
        <v>0.38396092603049131</v>
      </c>
    </row>
    <row r="137" spans="1:5" x14ac:dyDescent="0.25">
      <c r="A137" s="22">
        <v>32</v>
      </c>
      <c r="B137" s="5">
        <f>SUM(1427.47*1.32)</f>
        <v>1884.2604000000001</v>
      </c>
      <c r="C137" s="25">
        <f t="shared" si="4"/>
        <v>0.3731000000000001</v>
      </c>
      <c r="E137" s="48">
        <f t="shared" si="5"/>
        <v>0.38689192546583856</v>
      </c>
    </row>
    <row r="138" spans="1:5" x14ac:dyDescent="0.25">
      <c r="A138" s="22">
        <v>33</v>
      </c>
      <c r="B138" s="5">
        <f>SUM(1427.47*1.33)</f>
        <v>1898.5351000000001</v>
      </c>
      <c r="C138" s="25">
        <f t="shared" si="4"/>
        <v>0.3756000000000001</v>
      </c>
      <c r="E138" s="48">
        <f t="shared" si="5"/>
        <v>0.38982292490118581</v>
      </c>
    </row>
    <row r="139" spans="1:5" x14ac:dyDescent="0.25">
      <c r="A139" s="22"/>
      <c r="B139" s="5"/>
      <c r="C139" s="25"/>
    </row>
    <row r="140" spans="1:5" x14ac:dyDescent="0.25">
      <c r="A140" s="47" t="s">
        <v>64</v>
      </c>
      <c r="C140" s="28"/>
    </row>
    <row r="141" spans="1:5" x14ac:dyDescent="0.25">
      <c r="A141" s="22"/>
      <c r="B141" s="5"/>
      <c r="C141" s="25"/>
    </row>
    <row r="142" spans="1:5" x14ac:dyDescent="0.25">
      <c r="A142" s="22"/>
      <c r="B142" s="5"/>
      <c r="C142" s="25"/>
    </row>
    <row r="143" spans="1:5" x14ac:dyDescent="0.25">
      <c r="A143" t="s">
        <v>47</v>
      </c>
    </row>
    <row r="144" spans="1:5" x14ac:dyDescent="0.25">
      <c r="A144" t="s">
        <v>48</v>
      </c>
    </row>
  </sheetData>
  <pageMargins left="0.7" right="0.7" top="0.75" bottom="0.75" header="0.3" footer="0.3"/>
  <pageSetup scale="78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Current Assets</vt:lpstr>
      <vt:lpstr>FY2024 Fee Schedule</vt:lpstr>
      <vt:lpstr>Est. FY2025 Revenue</vt:lpstr>
      <vt:lpstr>Expenses Comparison 2021-2024</vt:lpstr>
      <vt:lpstr>Fee Increase Projections</vt:lpstr>
    </vt:vector>
  </TitlesOfParts>
  <Company>Brazos Valley Groundwater Conservation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General Manager</dc:creator>
  <cp:lastModifiedBy>Alan Day</cp:lastModifiedBy>
  <cp:lastPrinted>2024-10-21T14:40:03Z</cp:lastPrinted>
  <dcterms:created xsi:type="dcterms:W3CDTF">2014-07-14T15:03:29Z</dcterms:created>
  <dcterms:modified xsi:type="dcterms:W3CDTF">2024-11-08T21:45:43Z</dcterms:modified>
</cp:coreProperties>
</file>